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172" yWindow="-12" windowWidth="11208" windowHeight="7776" activeTab="1"/>
  </bookViews>
  <sheets>
    <sheet name="P. ACCIÓN A NOV 2019 " sheetId="1" r:id="rId1"/>
    <sheet name="CONSOLIDADO NOV 2019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xlnm.Print_Titles" localSheetId="1">'CONSOLIDADO NOV 2019'!$C:$F,'CONSOLIDADO NOV 2019'!$1:$4</definedName>
    <definedName name="_xlnm.Print_Titles" localSheetId="0">'P. ACCIÓN A NOV 2019 '!$C:$F,'P. ACCIÓN A NOV 2019 '!$1:$3</definedName>
  </definedNames>
  <calcPr calcId="144525"/>
</workbook>
</file>

<file path=xl/calcChain.xml><?xml version="1.0" encoding="utf-8"?>
<calcChain xmlns="http://schemas.openxmlformats.org/spreadsheetml/2006/main">
  <c r="G207" i="2" l="1"/>
  <c r="G206" i="2"/>
  <c r="AE206" i="2" s="1"/>
  <c r="G205" i="2"/>
  <c r="AC205" i="2" s="1"/>
  <c r="G204" i="2"/>
  <c r="G203" i="2"/>
  <c r="AC203" i="2" s="1"/>
  <c r="E207" i="2"/>
  <c r="E206" i="2"/>
  <c r="E205" i="2"/>
  <c r="E204" i="2"/>
  <c r="E203" i="2"/>
  <c r="AE204" i="2"/>
  <c r="AE203" i="2"/>
  <c r="AB208" i="2"/>
  <c r="AA208" i="2"/>
  <c r="Z208" i="2"/>
  <c r="Y208" i="2"/>
  <c r="X208" i="2"/>
  <c r="W208" i="2"/>
  <c r="V208" i="2"/>
  <c r="U208" i="2"/>
  <c r="T208" i="2"/>
  <c r="S208" i="2"/>
  <c r="R208" i="2"/>
  <c r="Q208" i="2"/>
  <c r="P208" i="2"/>
  <c r="O208" i="2"/>
  <c r="N208" i="2"/>
  <c r="M208" i="2"/>
  <c r="L208" i="2"/>
  <c r="K208" i="2"/>
  <c r="J208" i="2"/>
  <c r="I208" i="2"/>
  <c r="H208" i="2"/>
  <c r="AE207" i="2" l="1"/>
  <c r="E208" i="2"/>
  <c r="AC207" i="2"/>
  <c r="AD203" i="2"/>
  <c r="AD207" i="2"/>
  <c r="AE205" i="2"/>
  <c r="AC204" i="2"/>
  <c r="AC206" i="2"/>
  <c r="G208" i="2"/>
  <c r="AD204" i="2"/>
  <c r="AD206" i="2"/>
  <c r="AD205" i="2"/>
  <c r="AE208" i="2" l="1"/>
  <c r="AC208" i="2"/>
  <c r="AD208" i="2"/>
  <c r="DY153" i="2" l="1"/>
  <c r="DF153" i="2"/>
  <c r="CZ153" i="2"/>
  <c r="CY153" i="2"/>
  <c r="CX153" i="2"/>
  <c r="CS153" i="2"/>
  <c r="CR153" i="2"/>
  <c r="CQ153" i="2"/>
  <c r="CP153" i="2"/>
  <c r="CO153" i="2"/>
  <c r="CN153" i="2"/>
  <c r="CM153" i="2"/>
  <c r="CL153" i="2"/>
  <c r="CK153" i="2"/>
  <c r="CJ153" i="2"/>
  <c r="CI153" i="2"/>
  <c r="CH153" i="2"/>
  <c r="CG153" i="2"/>
  <c r="CE153" i="2"/>
  <c r="CA153" i="2"/>
  <c r="BB153" i="2"/>
  <c r="BA153" i="2"/>
  <c r="AZ153" i="2"/>
  <c r="AU153" i="2"/>
  <c r="AT153" i="2"/>
  <c r="AS153" i="2"/>
  <c r="AR153" i="2"/>
  <c r="AQ153" i="2"/>
  <c r="AP153" i="2"/>
  <c r="AO153" i="2"/>
  <c r="AN153" i="2"/>
  <c r="AM153" i="2"/>
  <c r="AL153" i="2"/>
  <c r="AK153" i="2"/>
  <c r="AI153" i="2"/>
  <c r="AG153" i="2"/>
  <c r="AC153" i="2"/>
  <c r="AA153" i="2"/>
  <c r="Y153" i="2"/>
  <c r="V153" i="2"/>
  <c r="U153" i="2"/>
  <c r="T153" i="2"/>
  <c r="S153" i="2"/>
  <c r="R153" i="2"/>
  <c r="Q153" i="2"/>
  <c r="P153" i="2"/>
  <c r="O153" i="2"/>
  <c r="N153" i="2"/>
  <c r="M153" i="2"/>
  <c r="L153" i="2"/>
  <c r="K153" i="2"/>
  <c r="J153" i="2"/>
  <c r="H153" i="2"/>
  <c r="CY152" i="2"/>
  <c r="CX152" i="2"/>
  <c r="CW152" i="2"/>
  <c r="CT152" i="2"/>
  <c r="CS152" i="2"/>
  <c r="CR152" i="2"/>
  <c r="CQ152" i="2"/>
  <c r="CP152" i="2"/>
  <c r="CO152" i="2"/>
  <c r="CM152" i="2"/>
  <c r="CL152" i="2"/>
  <c r="CK152" i="2"/>
  <c r="CJ152" i="2"/>
  <c r="CI152" i="2"/>
  <c r="CH152" i="2"/>
  <c r="CE152" i="2"/>
  <c r="BA152" i="2"/>
  <c r="AZ152" i="2"/>
  <c r="AY152" i="2"/>
  <c r="AV152" i="2"/>
  <c r="AU152" i="2"/>
  <c r="AT152" i="2"/>
  <c r="AS152" i="2"/>
  <c r="AR152" i="2"/>
  <c r="AQ152" i="2"/>
  <c r="AO152" i="2"/>
  <c r="AN152" i="2"/>
  <c r="AM152" i="2"/>
  <c r="AL152" i="2"/>
  <c r="AK152" i="2"/>
  <c r="AJ152" i="2"/>
  <c r="AG152" i="2"/>
  <c r="AC152" i="2"/>
  <c r="AA152" i="2"/>
  <c r="Z152" i="2"/>
  <c r="W152" i="2"/>
  <c r="V152" i="2"/>
  <c r="U152" i="2"/>
  <c r="T152" i="2"/>
  <c r="S152" i="2"/>
  <c r="R152" i="2"/>
  <c r="Q152" i="2"/>
  <c r="P152" i="2"/>
  <c r="O152" i="2"/>
  <c r="N152" i="2"/>
  <c r="M152" i="2"/>
  <c r="L152" i="2"/>
  <c r="K152" i="2"/>
  <c r="J152" i="2"/>
  <c r="H152" i="2"/>
  <c r="DY151" i="2"/>
  <c r="CZ151" i="2"/>
  <c r="CX151" i="2"/>
  <c r="CK151" i="2"/>
  <c r="CJ151" i="2"/>
  <c r="CI151" i="2"/>
  <c r="CH151" i="2"/>
  <c r="CG151" i="2"/>
  <c r="CF151" i="2"/>
  <c r="CE151" i="2"/>
  <c r="CA151" i="2"/>
  <c r="BB151" i="2"/>
  <c r="AZ151" i="2"/>
  <c r="AM151" i="2"/>
  <c r="AL151" i="2"/>
  <c r="AK151" i="2"/>
  <c r="AJ151" i="2"/>
  <c r="AI151" i="2"/>
  <c r="AH151" i="2"/>
  <c r="AG151" i="2"/>
  <c r="AC151" i="2"/>
  <c r="AA151" i="2"/>
  <c r="Y151" i="2"/>
  <c r="X151" i="2"/>
  <c r="T151" i="2"/>
  <c r="N151" i="2"/>
  <c r="M151" i="2"/>
  <c r="L151" i="2"/>
  <c r="K151" i="2"/>
  <c r="J151" i="2"/>
  <c r="I151" i="2"/>
  <c r="H151" i="2"/>
  <c r="DY150" i="2"/>
  <c r="CZ150" i="2"/>
  <c r="CY150" i="2"/>
  <c r="CX150" i="2"/>
  <c r="CW150" i="2"/>
  <c r="CT150" i="2"/>
  <c r="CS150" i="2"/>
  <c r="CR150" i="2"/>
  <c r="CQ150" i="2"/>
  <c r="CP150" i="2"/>
  <c r="CO150" i="2"/>
  <c r="CN150" i="2"/>
  <c r="CM150" i="2"/>
  <c r="CL150" i="2"/>
  <c r="CK150" i="2"/>
  <c r="CJ150" i="2"/>
  <c r="CI150" i="2"/>
  <c r="CG150" i="2"/>
  <c r="CE150" i="2"/>
  <c r="CA150" i="2"/>
  <c r="BB150" i="2"/>
  <c r="BA150" i="2"/>
  <c r="AZ150" i="2"/>
  <c r="AY150" i="2"/>
  <c r="AV150" i="2"/>
  <c r="AU150" i="2"/>
  <c r="AT150" i="2"/>
  <c r="AS150" i="2"/>
  <c r="AR150" i="2"/>
  <c r="AQ150" i="2"/>
  <c r="AP150" i="2"/>
  <c r="AO150" i="2"/>
  <c r="AN150" i="2"/>
  <c r="AM150" i="2"/>
  <c r="AL150" i="2"/>
  <c r="AK150" i="2"/>
  <c r="AI150" i="2"/>
  <c r="AG150" i="2"/>
  <c r="AC150" i="2"/>
  <c r="AA150" i="2"/>
  <c r="Z150" i="2"/>
  <c r="Y150" i="2"/>
  <c r="X150" i="2"/>
  <c r="W150" i="2"/>
  <c r="V150" i="2"/>
  <c r="U150" i="2"/>
  <c r="T150" i="2"/>
  <c r="S150" i="2"/>
  <c r="R150" i="2"/>
  <c r="Q150" i="2"/>
  <c r="P150" i="2"/>
  <c r="O150" i="2"/>
  <c r="N150" i="2"/>
  <c r="M150" i="2"/>
  <c r="L150" i="2"/>
  <c r="K150" i="2"/>
  <c r="J150" i="2"/>
  <c r="H150" i="2"/>
  <c r="DY149" i="2"/>
  <c r="CZ149" i="2"/>
  <c r="CY149" i="2"/>
  <c r="CT149" i="2"/>
  <c r="CS149" i="2"/>
  <c r="CR149" i="2"/>
  <c r="CQ149" i="2"/>
  <c r="CP149" i="2"/>
  <c r="CO149" i="2"/>
  <c r="CN149" i="2"/>
  <c r="CM149" i="2"/>
  <c r="CL149" i="2"/>
  <c r="CK149" i="2"/>
  <c r="CI149" i="2"/>
  <c r="CG149" i="2"/>
  <c r="CA149" i="2"/>
  <c r="BB149" i="2"/>
  <c r="BA149" i="2"/>
  <c r="AV149" i="2"/>
  <c r="AU149" i="2"/>
  <c r="AT149" i="2"/>
  <c r="AS149" i="2"/>
  <c r="AR149" i="2"/>
  <c r="AQ149" i="2"/>
  <c r="AP149" i="2"/>
  <c r="AO149" i="2"/>
  <c r="AN149" i="2"/>
  <c r="AM149" i="2"/>
  <c r="AK149" i="2"/>
  <c r="AI149" i="2"/>
  <c r="AC149" i="2"/>
  <c r="Y149" i="2"/>
  <c r="X149" i="2"/>
  <c r="W149" i="2"/>
  <c r="V149" i="2"/>
  <c r="U149" i="2"/>
  <c r="T149" i="2"/>
  <c r="S149" i="2"/>
  <c r="R149" i="2"/>
  <c r="Q149" i="2"/>
  <c r="P149" i="2"/>
  <c r="O149" i="2"/>
  <c r="N149" i="2"/>
  <c r="M149" i="2"/>
  <c r="L149" i="2"/>
  <c r="K149" i="2"/>
  <c r="J149" i="2"/>
  <c r="CY148" i="2"/>
  <c r="CX148" i="2"/>
  <c r="CR148" i="2"/>
  <c r="CQ148" i="2"/>
  <c r="CP148" i="2"/>
  <c r="CJ148" i="2"/>
  <c r="CI148" i="2"/>
  <c r="CG148" i="2"/>
  <c r="CF148" i="2"/>
  <c r="CE148" i="2"/>
  <c r="BA148" i="2"/>
  <c r="AZ148" i="2"/>
  <c r="AS148" i="2"/>
  <c r="AR148" i="2"/>
  <c r="AL148" i="2"/>
  <c r="AK148" i="2"/>
  <c r="AI148" i="2"/>
  <c r="AG148" i="2"/>
  <c r="AA148" i="2"/>
  <c r="Y148" i="2"/>
  <c r="X148" i="2"/>
  <c r="W148" i="2"/>
  <c r="T148" i="2"/>
  <c r="S148" i="2"/>
  <c r="N148" i="2"/>
  <c r="M148" i="2"/>
  <c r="L148" i="2"/>
  <c r="K148" i="2"/>
  <c r="J148" i="2"/>
  <c r="I148" i="2"/>
  <c r="H148" i="2"/>
  <c r="CZ147" i="2"/>
  <c r="CY147" i="2"/>
  <c r="CX147" i="2"/>
  <c r="CW147" i="2"/>
  <c r="CU147" i="2"/>
  <c r="CQ147" i="2"/>
  <c r="CP147" i="2"/>
  <c r="CK147" i="2"/>
  <c r="CJ147" i="2"/>
  <c r="CI147" i="2"/>
  <c r="CH147" i="2"/>
  <c r="CG147" i="2"/>
  <c r="CF147" i="2"/>
  <c r="CE147" i="2"/>
  <c r="BH147" i="2"/>
  <c r="BA147" i="2"/>
  <c r="AZ147" i="2"/>
  <c r="AY147" i="2"/>
  <c r="AW147" i="2"/>
  <c r="AS147" i="2"/>
  <c r="AR147" i="2"/>
  <c r="AM147" i="2"/>
  <c r="AL147" i="2"/>
  <c r="AK147" i="2"/>
  <c r="AJ147" i="2"/>
  <c r="AI147" i="2"/>
  <c r="AH147" i="2"/>
  <c r="AG147" i="2"/>
  <c r="AB147" i="2"/>
  <c r="AA147" i="2"/>
  <c r="Z147" i="2"/>
  <c r="X147" i="2"/>
  <c r="W147" i="2"/>
  <c r="U147" i="2"/>
  <c r="S147" i="2"/>
  <c r="N147" i="2"/>
  <c r="M147" i="2"/>
  <c r="K147" i="2"/>
  <c r="J147" i="2"/>
  <c r="I147" i="2"/>
  <c r="H147" i="2"/>
  <c r="CY143" i="2"/>
  <c r="CX143" i="2"/>
  <c r="CQ143" i="2"/>
  <c r="CP143" i="2"/>
  <c r="CK143" i="2"/>
  <c r="CJ143" i="2"/>
  <c r="CI143" i="2"/>
  <c r="CH143" i="2"/>
  <c r="CG143" i="2"/>
  <c r="CE143" i="2"/>
  <c r="BA143" i="2"/>
  <c r="AZ143" i="2"/>
  <c r="AS143" i="2"/>
  <c r="AR143" i="2"/>
  <c r="AM143" i="2"/>
  <c r="AL143" i="2"/>
  <c r="AK143" i="2"/>
  <c r="AI143" i="2"/>
  <c r="AG143" i="2"/>
  <c r="AB143" i="2"/>
  <c r="AA143" i="2"/>
  <c r="X143" i="2"/>
  <c r="W143" i="2"/>
  <c r="S143" i="2"/>
  <c r="O143" i="2"/>
  <c r="N143" i="2"/>
  <c r="M143" i="2"/>
  <c r="K143" i="2"/>
  <c r="J143" i="2"/>
  <c r="H143" i="2"/>
  <c r="DX142" i="2"/>
  <c r="DW142" i="2"/>
  <c r="DV142" i="2"/>
  <c r="DU142" i="2"/>
  <c r="DT142" i="2"/>
  <c r="DS142" i="2"/>
  <c r="DR142" i="2"/>
  <c r="DQ142" i="2"/>
  <c r="DP142" i="2"/>
  <c r="DO142" i="2"/>
  <c r="DN142" i="2"/>
  <c r="DM142" i="2"/>
  <c r="DL142" i="2"/>
  <c r="DK142" i="2"/>
  <c r="DJ142" i="2"/>
  <c r="DI142" i="2"/>
  <c r="DH142" i="2"/>
  <c r="DG142" i="2"/>
  <c r="DF142" i="2"/>
  <c r="DD142" i="2"/>
  <c r="CF142" i="2"/>
  <c r="CD142" i="2" s="1"/>
  <c r="EJ142" i="2" s="1"/>
  <c r="BZ142" i="2"/>
  <c r="BY142" i="2"/>
  <c r="BX142" i="2"/>
  <c r="BW142" i="2"/>
  <c r="BV142" i="2"/>
  <c r="BU142" i="2"/>
  <c r="BT142" i="2"/>
  <c r="BS142" i="2"/>
  <c r="BR142" i="2"/>
  <c r="BQ142" i="2"/>
  <c r="BP142" i="2"/>
  <c r="BO142" i="2"/>
  <c r="BN142" i="2"/>
  <c r="BM142" i="2"/>
  <c r="BL142" i="2"/>
  <c r="BK142" i="2"/>
  <c r="BJ142" i="2"/>
  <c r="BI142" i="2"/>
  <c r="BH142" i="2"/>
  <c r="BF142" i="2"/>
  <c r="AH142" i="2"/>
  <c r="AF142" i="2" s="1"/>
  <c r="I142" i="2"/>
  <c r="DX141" i="2"/>
  <c r="DW141" i="2"/>
  <c r="DV141" i="2"/>
  <c r="DU141" i="2"/>
  <c r="DT141" i="2"/>
  <c r="DS141" i="2"/>
  <c r="DR141" i="2"/>
  <c r="DQ141" i="2"/>
  <c r="DP141" i="2"/>
  <c r="DO141" i="2"/>
  <c r="DN141" i="2"/>
  <c r="DM141" i="2"/>
  <c r="DL141" i="2"/>
  <c r="DK141" i="2"/>
  <c r="DJ141" i="2"/>
  <c r="DI141" i="2"/>
  <c r="DH141" i="2"/>
  <c r="DG141" i="2"/>
  <c r="DF141" i="2"/>
  <c r="DD141" i="2"/>
  <c r="CF141" i="2"/>
  <c r="DA141" i="2" s="1"/>
  <c r="BZ141" i="2"/>
  <c r="BY141" i="2"/>
  <c r="BX141" i="2"/>
  <c r="BW141" i="2"/>
  <c r="BV141" i="2"/>
  <c r="BU141" i="2"/>
  <c r="BT141" i="2"/>
  <c r="BS141" i="2"/>
  <c r="BR141" i="2"/>
  <c r="BQ141" i="2"/>
  <c r="BP141" i="2"/>
  <c r="BO141" i="2"/>
  <c r="BN141" i="2"/>
  <c r="BM141" i="2"/>
  <c r="BL141" i="2"/>
  <c r="BK141" i="2"/>
  <c r="BJ141" i="2"/>
  <c r="BI141" i="2"/>
  <c r="BH141" i="2"/>
  <c r="BF141" i="2"/>
  <c r="BC141" i="2"/>
  <c r="AH141" i="2"/>
  <c r="BG141" i="2" s="1"/>
  <c r="AD141" i="2"/>
  <c r="G141" i="2" s="1"/>
  <c r="EI141" i="2" s="1"/>
  <c r="I141" i="2"/>
  <c r="DE141" i="2" s="1"/>
  <c r="DZ140" i="2"/>
  <c r="DX140" i="2"/>
  <c r="DW140" i="2"/>
  <c r="DV140" i="2"/>
  <c r="DT140" i="2"/>
  <c r="DS140" i="2"/>
  <c r="DR140" i="2"/>
  <c r="DQ140" i="2"/>
  <c r="DP140" i="2"/>
  <c r="DO140" i="2"/>
  <c r="DN140" i="2"/>
  <c r="DM140" i="2"/>
  <c r="DL140" i="2"/>
  <c r="DK140" i="2"/>
  <c r="DJ140" i="2"/>
  <c r="DI140" i="2"/>
  <c r="DH140" i="2"/>
  <c r="DG140" i="2"/>
  <c r="DF140" i="2"/>
  <c r="DE140" i="2"/>
  <c r="DD140" i="2"/>
  <c r="DB140" i="2"/>
  <c r="CV140" i="2"/>
  <c r="DU140" i="2" s="1"/>
  <c r="CB140" i="2"/>
  <c r="BZ140" i="2"/>
  <c r="BY140" i="2"/>
  <c r="BX140" i="2"/>
  <c r="BV140" i="2"/>
  <c r="BU140" i="2"/>
  <c r="BT140" i="2"/>
  <c r="BS140" i="2"/>
  <c r="BR140" i="2"/>
  <c r="BQ140" i="2"/>
  <c r="BP140" i="2"/>
  <c r="BO140" i="2"/>
  <c r="BN140" i="2"/>
  <c r="BM140" i="2"/>
  <c r="BL140" i="2"/>
  <c r="BK140" i="2"/>
  <c r="BJ140" i="2"/>
  <c r="BI140" i="2"/>
  <c r="BH140" i="2"/>
  <c r="BG140" i="2"/>
  <c r="BF140" i="2"/>
  <c r="AX140" i="2"/>
  <c r="AF140" i="2" s="1"/>
  <c r="G140" i="2"/>
  <c r="DZ139" i="2"/>
  <c r="DX139" i="2"/>
  <c r="DW139" i="2"/>
  <c r="DV139" i="2"/>
  <c r="DU139" i="2"/>
  <c r="DT139" i="2"/>
  <c r="DS139" i="2"/>
  <c r="DR139" i="2"/>
  <c r="DQ139" i="2"/>
  <c r="DP139" i="2"/>
  <c r="DO139" i="2"/>
  <c r="DN139" i="2"/>
  <c r="DM139" i="2"/>
  <c r="DL139" i="2"/>
  <c r="DK139" i="2"/>
  <c r="DJ139" i="2"/>
  <c r="DI139" i="2"/>
  <c r="DH139" i="2"/>
  <c r="DG139" i="2"/>
  <c r="DF139" i="2"/>
  <c r="DE139" i="2"/>
  <c r="DD139" i="2"/>
  <c r="CD139" i="2"/>
  <c r="EJ139" i="2" s="1"/>
  <c r="CB139" i="2"/>
  <c r="BZ139" i="2"/>
  <c r="BY139" i="2"/>
  <c r="BX139" i="2"/>
  <c r="BW139" i="2"/>
  <c r="BV139" i="2"/>
  <c r="BU139" i="2"/>
  <c r="BT139" i="2"/>
  <c r="BS139" i="2"/>
  <c r="BR139" i="2"/>
  <c r="BQ139" i="2"/>
  <c r="BP139" i="2"/>
  <c r="BO139" i="2"/>
  <c r="BN139" i="2"/>
  <c r="BM139" i="2"/>
  <c r="BL139" i="2"/>
  <c r="BK139" i="2"/>
  <c r="BJ139" i="2"/>
  <c r="BI139" i="2"/>
  <c r="BE139" i="2" s="1"/>
  <c r="EC139" i="2" s="1"/>
  <c r="BH139" i="2"/>
  <c r="BG139" i="2"/>
  <c r="BF139" i="2"/>
  <c r="AF139" i="2"/>
  <c r="G139" i="2"/>
  <c r="EI139" i="2" s="1"/>
  <c r="DZ138" i="2"/>
  <c r="DX138" i="2"/>
  <c r="DW138" i="2"/>
  <c r="DV138" i="2"/>
  <c r="DU138" i="2"/>
  <c r="DT138" i="2"/>
  <c r="DS138" i="2"/>
  <c r="DR138" i="2"/>
  <c r="DQ138" i="2"/>
  <c r="DP138" i="2"/>
  <c r="DO138" i="2"/>
  <c r="DN138" i="2"/>
  <c r="DM138" i="2"/>
  <c r="DL138" i="2"/>
  <c r="DK138" i="2"/>
  <c r="DJ138" i="2"/>
  <c r="DI138" i="2"/>
  <c r="DH138" i="2"/>
  <c r="DG138" i="2"/>
  <c r="DF138" i="2"/>
  <c r="DE138" i="2"/>
  <c r="DD138" i="2"/>
  <c r="CD138" i="2"/>
  <c r="EJ138" i="2" s="1"/>
  <c r="CB138" i="2"/>
  <c r="BZ138" i="2"/>
  <c r="BY138" i="2"/>
  <c r="BX138" i="2"/>
  <c r="BW138" i="2"/>
  <c r="BV138" i="2"/>
  <c r="BU138" i="2"/>
  <c r="BT138" i="2"/>
  <c r="BS138" i="2"/>
  <c r="BR138" i="2"/>
  <c r="BQ138" i="2"/>
  <c r="BP138" i="2"/>
  <c r="BO138" i="2"/>
  <c r="BN138" i="2"/>
  <c r="BM138" i="2"/>
  <c r="BL138" i="2"/>
  <c r="BK138" i="2"/>
  <c r="BJ138" i="2"/>
  <c r="BI138" i="2"/>
  <c r="BH138" i="2"/>
  <c r="BG138" i="2"/>
  <c r="BF138" i="2"/>
  <c r="AF138" i="2"/>
  <c r="G138" i="2"/>
  <c r="EI138" i="2" s="1"/>
  <c r="DZ137" i="2"/>
  <c r="DX137" i="2"/>
  <c r="DW137" i="2"/>
  <c r="DV137" i="2"/>
  <c r="DT137" i="2"/>
  <c r="DS137" i="2"/>
  <c r="DR137" i="2"/>
  <c r="DQ137" i="2"/>
  <c r="DP137" i="2"/>
  <c r="DO137" i="2"/>
  <c r="DN137" i="2"/>
  <c r="DM137" i="2"/>
  <c r="DL137" i="2"/>
  <c r="DK137" i="2"/>
  <c r="DJ137" i="2"/>
  <c r="DI137" i="2"/>
  <c r="DH137" i="2"/>
  <c r="DG137" i="2"/>
  <c r="DF137" i="2"/>
  <c r="DE137" i="2"/>
  <c r="DD137" i="2"/>
  <c r="CV137" i="2"/>
  <c r="CD137" i="2" s="1"/>
  <c r="EJ137" i="2" s="1"/>
  <c r="CB137" i="2"/>
  <c r="BZ137" i="2"/>
  <c r="BY137" i="2"/>
  <c r="BX137" i="2"/>
  <c r="BV137" i="2"/>
  <c r="BU137" i="2"/>
  <c r="BT137" i="2"/>
  <c r="BS137" i="2"/>
  <c r="BR137" i="2"/>
  <c r="BQ137" i="2"/>
  <c r="BP137" i="2"/>
  <c r="BO137" i="2"/>
  <c r="BN137" i="2"/>
  <c r="BM137" i="2"/>
  <c r="BL137" i="2"/>
  <c r="BK137" i="2"/>
  <c r="BJ137" i="2"/>
  <c r="BI137" i="2"/>
  <c r="BH137" i="2"/>
  <c r="BG137" i="2"/>
  <c r="BF137" i="2"/>
  <c r="AX137" i="2"/>
  <c r="AF137" i="2" s="1"/>
  <c r="G137" i="2"/>
  <c r="DZ136" i="2"/>
  <c r="DX136" i="2"/>
  <c r="DW136" i="2"/>
  <c r="DV136" i="2"/>
  <c r="DT136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D136" i="2"/>
  <c r="CV136" i="2"/>
  <c r="DU136" i="2" s="1"/>
  <c r="CF136" i="2"/>
  <c r="DE136" i="2" s="1"/>
  <c r="CB136" i="2"/>
  <c r="BZ136" i="2"/>
  <c r="BY136" i="2"/>
  <c r="BX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F136" i="2"/>
  <c r="AX136" i="2"/>
  <c r="BW136" i="2" s="1"/>
  <c r="AH136" i="2"/>
  <c r="BG136" i="2" s="1"/>
  <c r="AF136" i="2"/>
  <c r="G136" i="2"/>
  <c r="DZ135" i="2"/>
  <c r="DX135" i="2"/>
  <c r="DW135" i="2"/>
  <c r="DV135" i="2"/>
  <c r="DT135" i="2"/>
  <c r="DS135" i="2"/>
  <c r="DR135" i="2"/>
  <c r="DQ135" i="2"/>
  <c r="DP135" i="2"/>
  <c r="DO135" i="2"/>
  <c r="DN135" i="2"/>
  <c r="DM135" i="2"/>
  <c r="DL135" i="2"/>
  <c r="DK135" i="2"/>
  <c r="DJ135" i="2"/>
  <c r="DI135" i="2"/>
  <c r="DH135" i="2"/>
  <c r="DG135" i="2"/>
  <c r="DF135" i="2"/>
  <c r="DD135" i="2"/>
  <c r="CV135" i="2"/>
  <c r="DU135" i="2" s="1"/>
  <c r="CF135" i="2"/>
  <c r="DE135" i="2" s="1"/>
  <c r="CB135" i="2"/>
  <c r="BZ135" i="2"/>
  <c r="BY135" i="2"/>
  <c r="BX135" i="2"/>
  <c r="BV135" i="2"/>
  <c r="BU135" i="2"/>
  <c r="BT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F135" i="2"/>
  <c r="AX135" i="2"/>
  <c r="BW135" i="2" s="1"/>
  <c r="AH135" i="2"/>
  <c r="BG135" i="2" s="1"/>
  <c r="G135" i="2"/>
  <c r="EI135" i="2" s="1"/>
  <c r="DZ134" i="2"/>
  <c r="DX134" i="2"/>
  <c r="DW134" i="2"/>
  <c r="DV134" i="2"/>
  <c r="DT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D134" i="2"/>
  <c r="CV134" i="2"/>
  <c r="CF134" i="2"/>
  <c r="DE134" i="2" s="1"/>
  <c r="CB134" i="2"/>
  <c r="BZ134" i="2"/>
  <c r="BY134" i="2"/>
  <c r="BX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F134" i="2"/>
  <c r="AX134" i="2"/>
  <c r="BW134" i="2" s="1"/>
  <c r="AH134" i="2"/>
  <c r="BG134" i="2" s="1"/>
  <c r="G134" i="2"/>
  <c r="EI134" i="2" s="1"/>
  <c r="DG133" i="2"/>
  <c r="DC133" i="2" s="1"/>
  <c r="CH133" i="2"/>
  <c r="CD133" i="2" s="1"/>
  <c r="EJ133" i="2" s="1"/>
  <c r="AJ133" i="2"/>
  <c r="AF133" i="2" s="1"/>
  <c r="G133" i="2"/>
  <c r="CH132" i="2"/>
  <c r="DG132" i="2" s="1"/>
  <c r="DC132" i="2" s="1"/>
  <c r="AJ132" i="2"/>
  <c r="AF132" i="2" s="1"/>
  <c r="G132" i="2"/>
  <c r="DZ131" i="2"/>
  <c r="DX131" i="2"/>
  <c r="DW131" i="2"/>
  <c r="DV131" i="2"/>
  <c r="DU131" i="2"/>
  <c r="DT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CD131" i="2"/>
  <c r="EJ131" i="2" s="1"/>
  <c r="CB131" i="2"/>
  <c r="BZ131" i="2"/>
  <c r="BY131" i="2"/>
  <c r="BX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AF131" i="2"/>
  <c r="G131" i="2"/>
  <c r="DZ130" i="2"/>
  <c r="DX130" i="2"/>
  <c r="DW130" i="2"/>
  <c r="DU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D130" i="2"/>
  <c r="CW130" i="2"/>
  <c r="CU130" i="2"/>
  <c r="CF130" i="2"/>
  <c r="CB130" i="2"/>
  <c r="BZ130" i="2"/>
  <c r="BY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F130" i="2"/>
  <c r="AY130" i="2"/>
  <c r="AY148" i="2" s="1"/>
  <c r="AX130" i="2"/>
  <c r="BW130" i="2" s="1"/>
  <c r="AW130" i="2"/>
  <c r="BV130" i="2" s="1"/>
  <c r="AH130" i="2"/>
  <c r="Z130" i="2"/>
  <c r="DX129" i="2"/>
  <c r="DW129" i="2"/>
  <c r="DV129" i="2"/>
  <c r="DU129" i="2"/>
  <c r="DT129" i="2"/>
  <c r="DS129" i="2"/>
  <c r="DR129" i="2"/>
  <c r="DP129" i="2"/>
  <c r="DO129" i="2"/>
  <c r="DN129" i="2"/>
  <c r="DM129" i="2"/>
  <c r="DL129" i="2"/>
  <c r="DJ129" i="2"/>
  <c r="DI129" i="2"/>
  <c r="DH129" i="2"/>
  <c r="DG129" i="2"/>
  <c r="DF129" i="2"/>
  <c r="DE129" i="2"/>
  <c r="DD129" i="2"/>
  <c r="DA129" i="2"/>
  <c r="CL129" i="2"/>
  <c r="DK129" i="2" s="1"/>
  <c r="BZ129" i="2"/>
  <c r="BY129" i="2"/>
  <c r="BX129" i="2"/>
  <c r="BW129" i="2"/>
  <c r="BV129" i="2"/>
  <c r="BU129" i="2"/>
  <c r="BT129" i="2"/>
  <c r="BR129" i="2"/>
  <c r="BQ129" i="2"/>
  <c r="BP129" i="2"/>
  <c r="BO129" i="2"/>
  <c r="BN129" i="2"/>
  <c r="BL129" i="2"/>
  <c r="BK129" i="2"/>
  <c r="BJ129" i="2"/>
  <c r="BI129" i="2"/>
  <c r="BH129" i="2"/>
  <c r="BH143" i="2" s="1"/>
  <c r="BG129" i="2"/>
  <c r="BF129" i="2"/>
  <c r="BC129" i="2"/>
  <c r="AT129" i="2"/>
  <c r="AT148" i="2" s="1"/>
  <c r="AN129" i="2"/>
  <c r="BM129" i="2" s="1"/>
  <c r="AD129" i="2"/>
  <c r="U129" i="2"/>
  <c r="G129" i="2"/>
  <c r="DX128" i="2"/>
  <c r="DW128" i="2"/>
  <c r="DV128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A128" i="2"/>
  <c r="DZ128" i="2" s="1"/>
  <c r="CU128" i="2"/>
  <c r="CD128" i="2" s="1"/>
  <c r="EJ128" i="2" s="1"/>
  <c r="BZ128" i="2"/>
  <c r="BY128" i="2"/>
  <c r="BX128" i="2"/>
  <c r="BW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C128" i="2"/>
  <c r="AW128" i="2"/>
  <c r="BV128" i="2" s="1"/>
  <c r="AD128" i="2"/>
  <c r="G128" i="2" s="1"/>
  <c r="DX127" i="2"/>
  <c r="DW127" i="2"/>
  <c r="DV127" i="2"/>
  <c r="DT127" i="2"/>
  <c r="DQ127" i="2"/>
  <c r="DP127" i="2"/>
  <c r="DO127" i="2"/>
  <c r="DJ127" i="2"/>
  <c r="DI127" i="2"/>
  <c r="DH127" i="2"/>
  <c r="DG127" i="2"/>
  <c r="DF127" i="2"/>
  <c r="DE127" i="2"/>
  <c r="DD127" i="2"/>
  <c r="DA127" i="2"/>
  <c r="CZ127" i="2"/>
  <c r="CV127" i="2"/>
  <c r="CV148" i="2" s="1"/>
  <c r="CT127" i="2"/>
  <c r="DS127" i="2" s="1"/>
  <c r="CS127" i="2"/>
  <c r="CS148" i="2" s="1"/>
  <c r="CO127" i="2"/>
  <c r="CO148" i="2" s="1"/>
  <c r="CN127" i="2"/>
  <c r="CN148" i="2" s="1"/>
  <c r="CM127" i="2"/>
  <c r="CM148" i="2" s="1"/>
  <c r="CL127" i="2"/>
  <c r="DK127" i="2" s="1"/>
  <c r="BZ127" i="2"/>
  <c r="BY127" i="2"/>
  <c r="BX127" i="2"/>
  <c r="BV127" i="2"/>
  <c r="BS127" i="2"/>
  <c r="BR127" i="2"/>
  <c r="BQ127" i="2"/>
  <c r="BL127" i="2"/>
  <c r="BK127" i="2"/>
  <c r="BJ127" i="2"/>
  <c r="BI127" i="2"/>
  <c r="BH127" i="2"/>
  <c r="BG127" i="2"/>
  <c r="BF127" i="2"/>
  <c r="BC127" i="2"/>
  <c r="CB127" i="2" s="1"/>
  <c r="BB127" i="2"/>
  <c r="AX127" i="2"/>
  <c r="AV127" i="2"/>
  <c r="BU127" i="2" s="1"/>
  <c r="AU127" i="2"/>
  <c r="AU148" i="2" s="1"/>
  <c r="AQ127" i="2"/>
  <c r="AP127" i="2"/>
  <c r="AO127" i="2"/>
  <c r="AN127" i="2"/>
  <c r="BM127" i="2" s="1"/>
  <c r="AD127" i="2"/>
  <c r="AC127" i="2"/>
  <c r="V127" i="2"/>
  <c r="R127" i="2"/>
  <c r="Q127" i="2"/>
  <c r="P127" i="2"/>
  <c r="O127" i="2"/>
  <c r="DX126" i="2"/>
  <c r="DW126" i="2"/>
  <c r="DV126" i="2"/>
  <c r="DU126" i="2"/>
  <c r="DT126" i="2"/>
  <c r="DS126" i="2"/>
  <c r="DQ126" i="2"/>
  <c r="DP126" i="2"/>
  <c r="DO126" i="2"/>
  <c r="DJ126" i="2"/>
  <c r="DI126" i="2"/>
  <c r="DH126" i="2"/>
  <c r="DG126" i="2"/>
  <c r="DF126" i="2"/>
  <c r="DE126" i="2"/>
  <c r="DD126" i="2"/>
  <c r="DA126" i="2"/>
  <c r="DZ126" i="2" s="1"/>
  <c r="CZ126" i="2"/>
  <c r="CL126" i="2"/>
  <c r="BZ126" i="2"/>
  <c r="BY126" i="2"/>
  <c r="BX126" i="2"/>
  <c r="BW126" i="2"/>
  <c r="BV126" i="2"/>
  <c r="BU126" i="2"/>
  <c r="BS126" i="2"/>
  <c r="BR126" i="2"/>
  <c r="BQ126" i="2"/>
  <c r="BL126" i="2"/>
  <c r="BK126" i="2"/>
  <c r="BJ126" i="2"/>
  <c r="BI126" i="2"/>
  <c r="BH126" i="2"/>
  <c r="BG126" i="2"/>
  <c r="BF126" i="2"/>
  <c r="BC126" i="2"/>
  <c r="BB126" i="2"/>
  <c r="AP126" i="2"/>
  <c r="AO126" i="2"/>
  <c r="AN126" i="2"/>
  <c r="BM126" i="2" s="1"/>
  <c r="AD126" i="2"/>
  <c r="AC126" i="2"/>
  <c r="V126" i="2"/>
  <c r="DR126" i="2" s="1"/>
  <c r="R126" i="2"/>
  <c r="Q126" i="2"/>
  <c r="BO126" i="2" s="1"/>
  <c r="P126" i="2"/>
  <c r="O126" i="2"/>
  <c r="DY125" i="2"/>
  <c r="DX125" i="2"/>
  <c r="DW125" i="2"/>
  <c r="DV125" i="2"/>
  <c r="DT125" i="2"/>
  <c r="DP125" i="2"/>
  <c r="DO125" i="2"/>
  <c r="DJ125" i="2"/>
  <c r="DI125" i="2"/>
  <c r="DG125" i="2"/>
  <c r="DF125" i="2"/>
  <c r="DE125" i="2"/>
  <c r="DD125" i="2"/>
  <c r="DA125" i="2"/>
  <c r="CV125" i="2"/>
  <c r="CT125" i="2"/>
  <c r="DS125" i="2" s="1"/>
  <c r="CR125" i="2"/>
  <c r="CR147" i="2" s="1"/>
  <c r="CO125" i="2"/>
  <c r="CN125" i="2"/>
  <c r="CM125" i="2"/>
  <c r="CL125" i="2"/>
  <c r="BZ125" i="2"/>
  <c r="BY125" i="2"/>
  <c r="BX125" i="2"/>
  <c r="BV125" i="2"/>
  <c r="BR125" i="2"/>
  <c r="BQ125" i="2"/>
  <c r="BL125" i="2"/>
  <c r="BK125" i="2"/>
  <c r="BI125" i="2"/>
  <c r="BG125" i="2"/>
  <c r="BF125" i="2"/>
  <c r="BC125" i="2"/>
  <c r="BB125" i="2"/>
  <c r="CA125" i="2" s="1"/>
  <c r="AX125" i="2"/>
  <c r="AV125" i="2"/>
  <c r="BU125" i="2" s="1"/>
  <c r="AT125" i="2"/>
  <c r="AT143" i="2" s="1"/>
  <c r="AQ125" i="2"/>
  <c r="AP125" i="2"/>
  <c r="AO125" i="2"/>
  <c r="AN125" i="2"/>
  <c r="AD125" i="2"/>
  <c r="AC125" i="2"/>
  <c r="Y125" i="2"/>
  <c r="V125" i="2"/>
  <c r="BT125" i="2" s="1"/>
  <c r="R125" i="2"/>
  <c r="BP125" i="2" s="1"/>
  <c r="Q125" i="2"/>
  <c r="P125" i="2"/>
  <c r="O125" i="2"/>
  <c r="BM125" i="2" s="1"/>
  <c r="L125" i="2"/>
  <c r="DZ124" i="2"/>
  <c r="DX124" i="2"/>
  <c r="DX147" i="2" s="1"/>
  <c r="DW124" i="2"/>
  <c r="DV124" i="2"/>
  <c r="DU124" i="2"/>
  <c r="DT124" i="2"/>
  <c r="DS124" i="2"/>
  <c r="DQ124" i="2"/>
  <c r="DO124" i="2"/>
  <c r="DJ124" i="2"/>
  <c r="DI124" i="2"/>
  <c r="DH124" i="2"/>
  <c r="DG124" i="2"/>
  <c r="DE124" i="2"/>
  <c r="DD124" i="2"/>
  <c r="CS124" i="2"/>
  <c r="CS143" i="2" s="1"/>
  <c r="CO124" i="2"/>
  <c r="CN124" i="2"/>
  <c r="CM124" i="2"/>
  <c r="CL124" i="2"/>
  <c r="CB124" i="2"/>
  <c r="BZ124" i="2"/>
  <c r="BY124" i="2"/>
  <c r="BX124" i="2"/>
  <c r="BW124" i="2"/>
  <c r="BV124" i="2"/>
  <c r="BU124" i="2"/>
  <c r="BS124" i="2"/>
  <c r="BQ124" i="2"/>
  <c r="BL124" i="2"/>
  <c r="BK124" i="2"/>
  <c r="BJ124" i="2"/>
  <c r="BI124" i="2"/>
  <c r="BG124" i="2"/>
  <c r="BG147" i="2" s="1"/>
  <c r="BF124" i="2"/>
  <c r="AU124" i="2"/>
  <c r="AQ124" i="2"/>
  <c r="AQ143" i="2" s="1"/>
  <c r="AP124" i="2"/>
  <c r="AO124" i="2"/>
  <c r="AN124" i="2"/>
  <c r="V124" i="2"/>
  <c r="T124" i="2"/>
  <c r="DP124" i="2" s="1"/>
  <c r="R124" i="2"/>
  <c r="Q124" i="2"/>
  <c r="P124" i="2"/>
  <c r="O124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G123" i="2"/>
  <c r="DE123" i="2"/>
  <c r="DD123" i="2"/>
  <c r="CD123" i="2"/>
  <c r="EJ123" i="2" s="1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I123" i="2"/>
  <c r="BG123" i="2"/>
  <c r="BF123" i="2"/>
  <c r="AF123" i="2"/>
  <c r="AD123" i="2"/>
  <c r="G123" i="2"/>
  <c r="EI123" i="2" s="1"/>
  <c r="DY122" i="2"/>
  <c r="CZ122" i="2"/>
  <c r="CY122" i="2"/>
  <c r="CT122" i="2"/>
  <c r="CS122" i="2"/>
  <c r="CR122" i="2"/>
  <c r="CQ122" i="2"/>
  <c r="CP122" i="2"/>
  <c r="CO122" i="2"/>
  <c r="CN122" i="2"/>
  <c r="CM122" i="2"/>
  <c r="CL122" i="2"/>
  <c r="CK122" i="2"/>
  <c r="CI122" i="2"/>
  <c r="CG122" i="2"/>
  <c r="CA122" i="2"/>
  <c r="BB122" i="2"/>
  <c r="BA122" i="2"/>
  <c r="AV122" i="2"/>
  <c r="AU122" i="2"/>
  <c r="AT122" i="2"/>
  <c r="AS122" i="2"/>
  <c r="AR122" i="2"/>
  <c r="AQ122" i="2"/>
  <c r="AP122" i="2"/>
  <c r="AO122" i="2"/>
  <c r="AN122" i="2"/>
  <c r="AM122" i="2"/>
  <c r="AK122" i="2"/>
  <c r="AI122" i="2"/>
  <c r="AC122" i="2"/>
  <c r="AB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DZ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E121" i="2"/>
  <c r="CX121" i="2"/>
  <c r="DW121" i="2" s="1"/>
  <c r="CE121" i="2"/>
  <c r="CB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I121" i="2"/>
  <c r="BH121" i="2"/>
  <c r="BG121" i="2"/>
  <c r="AZ121" i="2"/>
  <c r="BY121" i="2" s="1"/>
  <c r="AG121" i="2"/>
  <c r="BF121" i="2" s="1"/>
  <c r="G121" i="2"/>
  <c r="DZ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E120" i="2"/>
  <c r="CX120" i="2"/>
  <c r="DW120" i="2" s="1"/>
  <c r="CE120" i="2"/>
  <c r="CB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AZ120" i="2"/>
  <c r="BY120" i="2" s="1"/>
  <c r="AG120" i="2"/>
  <c r="G120" i="2"/>
  <c r="DZ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G119" i="2"/>
  <c r="DE119" i="2"/>
  <c r="CX119" i="2"/>
  <c r="CE119" i="2"/>
  <c r="CD119" i="2" s="1"/>
  <c r="EJ119" i="2" s="1"/>
  <c r="CB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I119" i="2"/>
  <c r="BH119" i="2"/>
  <c r="BG119" i="2"/>
  <c r="AZ119" i="2"/>
  <c r="BY119" i="2" s="1"/>
  <c r="AG119" i="2"/>
  <c r="BF119" i="2" s="1"/>
  <c r="G119" i="2"/>
  <c r="EB118" i="2"/>
  <c r="CH118" i="2"/>
  <c r="CD118" i="2" s="1"/>
  <c r="CB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AJ118" i="2"/>
  <c r="AF118" i="2" s="1"/>
  <c r="G118" i="2"/>
  <c r="EI118" i="2" s="1"/>
  <c r="DZ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CX117" i="2"/>
  <c r="DW117" i="2" s="1"/>
  <c r="CE117" i="2"/>
  <c r="DD117" i="2" s="1"/>
  <c r="CD117" i="2"/>
  <c r="EJ117" i="2" s="1"/>
  <c r="CB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AZ117" i="2"/>
  <c r="BY117" i="2" s="1"/>
  <c r="AG117" i="2"/>
  <c r="BF117" i="2" s="1"/>
  <c r="G117" i="2"/>
  <c r="EI117" i="2" s="1"/>
  <c r="DZ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E116" i="2"/>
  <c r="DD116" i="2"/>
  <c r="CX116" i="2"/>
  <c r="CB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AZ116" i="2"/>
  <c r="BY116" i="2" s="1"/>
  <c r="G116" i="2"/>
  <c r="DZ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E115" i="2"/>
  <c r="DD115" i="2"/>
  <c r="CD115" i="2"/>
  <c r="EJ115" i="2" s="1"/>
  <c r="CB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AZ115" i="2"/>
  <c r="AF115" i="2" s="1"/>
  <c r="G115" i="2"/>
  <c r="DZ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E114" i="2"/>
  <c r="DD114" i="2"/>
  <c r="CD114" i="2"/>
  <c r="CB114" i="2"/>
  <c r="BZ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AZ114" i="2"/>
  <c r="AF114" i="2" s="1"/>
  <c r="G114" i="2"/>
  <c r="DZ113" i="2"/>
  <c r="DX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E113" i="2"/>
  <c r="DD113" i="2"/>
  <c r="CX113" i="2"/>
  <c r="DW113" i="2" s="1"/>
  <c r="CB113" i="2"/>
  <c r="BZ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AZ113" i="2"/>
  <c r="BY113" i="2" s="1"/>
  <c r="AF113" i="2"/>
  <c r="G113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A112" i="2"/>
  <c r="CD112" i="2" s="1"/>
  <c r="EJ112" i="2" s="1"/>
  <c r="CX112" i="2"/>
  <c r="BZ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C112" i="2"/>
  <c r="AZ112" i="2"/>
  <c r="AD112" i="2"/>
  <c r="CB112" i="2" s="1"/>
  <c r="DX111" i="2"/>
  <c r="DW111" i="2"/>
  <c r="DS111" i="2"/>
  <c r="DR111" i="2"/>
  <c r="DQ111" i="2"/>
  <c r="DP111" i="2"/>
  <c r="DO111" i="2"/>
  <c r="DN111" i="2"/>
  <c r="DM111" i="2"/>
  <c r="DL111" i="2"/>
  <c r="DK111" i="2"/>
  <c r="DJ111" i="2"/>
  <c r="DH111" i="2"/>
  <c r="DG111" i="2"/>
  <c r="DE111" i="2"/>
  <c r="DD111" i="2"/>
  <c r="DA111" i="2"/>
  <c r="CW111" i="2"/>
  <c r="CV111" i="2"/>
  <c r="CV122" i="2" s="1"/>
  <c r="CU111" i="2"/>
  <c r="DT111" i="2" s="1"/>
  <c r="CJ111" i="2"/>
  <c r="CJ149" i="2" s="1"/>
  <c r="BZ111" i="2"/>
  <c r="BY111" i="2"/>
  <c r="BU111" i="2"/>
  <c r="BT111" i="2"/>
  <c r="BS111" i="2"/>
  <c r="BR111" i="2"/>
  <c r="BQ111" i="2"/>
  <c r="BP111" i="2"/>
  <c r="BO111" i="2"/>
  <c r="BN111" i="2"/>
  <c r="BM111" i="2"/>
  <c r="BL111" i="2"/>
  <c r="BJ111" i="2"/>
  <c r="BI111" i="2"/>
  <c r="BH111" i="2"/>
  <c r="BG111" i="2"/>
  <c r="BF111" i="2"/>
  <c r="BC111" i="2"/>
  <c r="AY111" i="2"/>
  <c r="AX111" i="2"/>
  <c r="AX122" i="2" s="1"/>
  <c r="AW111" i="2"/>
  <c r="AL111" i="2"/>
  <c r="AD111" i="2"/>
  <c r="Z111" i="2"/>
  <c r="DX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A110" i="2"/>
  <c r="CX110" i="2"/>
  <c r="DW110" i="2" s="1"/>
  <c r="CW110" i="2"/>
  <c r="CF110" i="2"/>
  <c r="CE110" i="2"/>
  <c r="BZ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C110" i="2"/>
  <c r="AZ110" i="2"/>
  <c r="BY110" i="2" s="1"/>
  <c r="AY110" i="2"/>
  <c r="AH110" i="2"/>
  <c r="AH122" i="2" s="1"/>
  <c r="AG110" i="2"/>
  <c r="AD110" i="2"/>
  <c r="AD122" i="2" s="1"/>
  <c r="Z110" i="2"/>
  <c r="I110" i="2"/>
  <c r="I149" i="2" s="1"/>
  <c r="H110" i="2"/>
  <c r="H122" i="2" s="1"/>
  <c r="DZ109" i="2"/>
  <c r="DX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E109" i="2"/>
  <c r="DD109" i="2"/>
  <c r="DB109" i="2"/>
  <c r="CD109" i="2"/>
  <c r="EJ109" i="2" s="1"/>
  <c r="BI109" i="2"/>
  <c r="AF109" i="2"/>
  <c r="AA109" i="2"/>
  <c r="G109" i="2" s="1"/>
  <c r="DZ108" i="2"/>
  <c r="DX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E108" i="2"/>
  <c r="CX108" i="2"/>
  <c r="CE108" i="2"/>
  <c r="CB108" i="2"/>
  <c r="BZ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AZ108" i="2"/>
  <c r="AG108" i="2"/>
  <c r="AF108" i="2" s="1"/>
  <c r="AA108" i="2"/>
  <c r="G108" i="2" s="1"/>
  <c r="DZ107" i="2"/>
  <c r="DX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E107" i="2"/>
  <c r="CX107" i="2"/>
  <c r="DW107" i="2" s="1"/>
  <c r="CE107" i="2"/>
  <c r="DD107" i="2" s="1"/>
  <c r="CB107" i="2"/>
  <c r="BZ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AZ107" i="2"/>
  <c r="BY107" i="2" s="1"/>
  <c r="AG107" i="2"/>
  <c r="G107" i="2"/>
  <c r="DZ106" i="2"/>
  <c r="DX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E106" i="2"/>
  <c r="DD106" i="2"/>
  <c r="CX106" i="2"/>
  <c r="CD106" i="2" s="1"/>
  <c r="EJ106" i="2" s="1"/>
  <c r="CB106" i="2"/>
  <c r="BZ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J149" i="2" s="1"/>
  <c r="BI106" i="2"/>
  <c r="BH106" i="2"/>
  <c r="BG106" i="2"/>
  <c r="BF106" i="2"/>
  <c r="AZ106" i="2"/>
  <c r="BY106" i="2" s="1"/>
  <c r="G106" i="2"/>
  <c r="DY105" i="2"/>
  <c r="DF105" i="2"/>
  <c r="CZ105" i="2"/>
  <c r="CY105" i="2"/>
  <c r="CX105" i="2"/>
  <c r="CS105" i="2"/>
  <c r="CR105" i="2"/>
  <c r="CQ105" i="2"/>
  <c r="CP105" i="2"/>
  <c r="CO105" i="2"/>
  <c r="CN105" i="2"/>
  <c r="CM105" i="2"/>
  <c r="CL105" i="2"/>
  <c r="CK105" i="2"/>
  <c r="CJ105" i="2"/>
  <c r="CI105" i="2"/>
  <c r="CG105" i="2"/>
  <c r="CE105" i="2"/>
  <c r="CA105" i="2"/>
  <c r="BB105" i="2"/>
  <c r="BA105" i="2"/>
  <c r="AZ105" i="2"/>
  <c r="AU105" i="2"/>
  <c r="AT105" i="2"/>
  <c r="AS105" i="2"/>
  <c r="AR105" i="2"/>
  <c r="AQ105" i="2"/>
  <c r="AP105" i="2"/>
  <c r="AO105" i="2"/>
  <c r="AN105" i="2"/>
  <c r="AM105" i="2"/>
  <c r="AL105" i="2"/>
  <c r="AK105" i="2"/>
  <c r="AI105" i="2"/>
  <c r="AG105" i="2"/>
  <c r="AC105" i="2"/>
  <c r="AB105" i="2"/>
  <c r="AA105" i="2"/>
  <c r="Y105" i="2"/>
  <c r="V105" i="2"/>
  <c r="U105" i="2"/>
  <c r="T105" i="2"/>
  <c r="S105" i="2"/>
  <c r="R105" i="2"/>
  <c r="Q105" i="2"/>
  <c r="P105" i="2"/>
  <c r="O105" i="2"/>
  <c r="N105" i="2"/>
  <c r="M105" i="2"/>
  <c r="L105" i="2"/>
  <c r="K105" i="2"/>
  <c r="J105" i="2"/>
  <c r="H105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E104" i="2"/>
  <c r="DD104" i="2"/>
  <c r="DA104" i="2"/>
  <c r="CD104" i="2" s="1"/>
  <c r="EJ104" i="2" s="1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C104" i="2"/>
  <c r="AF104" i="2"/>
  <c r="AD104" i="2"/>
  <c r="CB104" i="2" s="1"/>
  <c r="DX103" i="2"/>
  <c r="DW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E103" i="2"/>
  <c r="DD103" i="2"/>
  <c r="DA103" i="2"/>
  <c r="CW103" i="2"/>
  <c r="DV103" i="2" s="1"/>
  <c r="CV103" i="2"/>
  <c r="DU103" i="2" s="1"/>
  <c r="CF103" i="2"/>
  <c r="BZ103" i="2"/>
  <c r="BY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F103" i="2"/>
  <c r="BC103" i="2"/>
  <c r="AY103" i="2"/>
  <c r="AX103" i="2"/>
  <c r="BW103" i="2" s="1"/>
  <c r="AH103" i="2"/>
  <c r="BG103" i="2" s="1"/>
  <c r="AD103" i="2"/>
  <c r="Z103" i="2"/>
  <c r="BX103" i="2" s="1"/>
  <c r="DZ102" i="2"/>
  <c r="DX102" i="2"/>
  <c r="DW102" i="2"/>
  <c r="DV102" i="2"/>
  <c r="DU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E102" i="2"/>
  <c r="DD102" i="2"/>
  <c r="CD102" i="2"/>
  <c r="EJ102" i="2" s="1"/>
  <c r="AJ102" i="2"/>
  <c r="AJ153" i="2" s="1"/>
  <c r="X102" i="2"/>
  <c r="DZ101" i="2"/>
  <c r="DX101" i="2"/>
  <c r="DW101" i="2"/>
  <c r="DV101" i="2"/>
  <c r="DU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E101" i="2"/>
  <c r="DD101" i="2"/>
  <c r="CD101" i="2"/>
  <c r="EJ101" i="2" s="1"/>
  <c r="CB101" i="2"/>
  <c r="BZ101" i="2"/>
  <c r="BY101" i="2"/>
  <c r="BX101" i="2"/>
  <c r="BW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AF101" i="2"/>
  <c r="X101" i="2"/>
  <c r="DZ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E100" i="2"/>
  <c r="DD100" i="2"/>
  <c r="CF100" i="2"/>
  <c r="CD100" i="2" s="1"/>
  <c r="CB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F100" i="2"/>
  <c r="AH100" i="2"/>
  <c r="BG100" i="2" s="1"/>
  <c r="G100" i="2"/>
  <c r="DZ99" i="2"/>
  <c r="DX99" i="2"/>
  <c r="DW99" i="2"/>
  <c r="DV99" i="2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E99" i="2"/>
  <c r="DD99" i="2"/>
  <c r="CU99" i="2"/>
  <c r="DT99" i="2" s="1"/>
  <c r="CB99" i="2"/>
  <c r="BZ99" i="2"/>
  <c r="BY99" i="2"/>
  <c r="BX99" i="2"/>
  <c r="BW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AW99" i="2"/>
  <c r="G99" i="2"/>
  <c r="DZ98" i="2"/>
  <c r="DX98" i="2"/>
  <c r="DW98" i="2"/>
  <c r="DU98" i="2"/>
  <c r="DT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D98" i="2"/>
  <c r="CF98" i="2"/>
  <c r="DE98" i="2" s="1"/>
  <c r="CB98" i="2"/>
  <c r="BZ98" i="2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F98" i="2"/>
  <c r="AY98" i="2"/>
  <c r="AH98" i="2"/>
  <c r="BG98" i="2" s="1"/>
  <c r="G98" i="2"/>
  <c r="DZ97" i="2"/>
  <c r="DX97" i="2"/>
  <c r="DW97" i="2"/>
  <c r="DV97" i="2"/>
  <c r="DU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D97" i="2"/>
  <c r="CU97" i="2"/>
  <c r="CF97" i="2"/>
  <c r="CB97" i="2"/>
  <c r="BZ97" i="2"/>
  <c r="BY97" i="2"/>
  <c r="BX97" i="2"/>
  <c r="BW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BF97" i="2"/>
  <c r="AW97" i="2"/>
  <c r="AH97" i="2"/>
  <c r="BG97" i="2" s="1"/>
  <c r="X97" i="2"/>
  <c r="DT97" i="2" s="1"/>
  <c r="DZ96" i="2"/>
  <c r="DX96" i="2"/>
  <c r="DW96" i="2"/>
  <c r="DV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D96" i="2"/>
  <c r="CV96" i="2"/>
  <c r="DU96" i="2" s="1"/>
  <c r="CF96" i="2"/>
  <c r="CB96" i="2"/>
  <c r="BZ96" i="2"/>
  <c r="BY96" i="2"/>
  <c r="BX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F96" i="2"/>
  <c r="AX96" i="2"/>
  <c r="BW96" i="2" s="1"/>
  <c r="AH96" i="2"/>
  <c r="I96" i="2"/>
  <c r="G96" i="2" s="1"/>
  <c r="DZ95" i="2"/>
  <c r="DX95" i="2"/>
  <c r="DW95" i="2"/>
  <c r="DV95" i="2"/>
  <c r="DU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E95" i="2"/>
  <c r="DD95" i="2"/>
  <c r="CU95" i="2"/>
  <c r="CD95" i="2" s="1"/>
  <c r="EJ95" i="2" s="1"/>
  <c r="CB95" i="2"/>
  <c r="BZ95" i="2"/>
  <c r="BY95" i="2"/>
  <c r="BX95" i="2"/>
  <c r="BW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AW95" i="2"/>
  <c r="AF95" i="2" s="1"/>
  <c r="X95" i="2"/>
  <c r="DZ94" i="2"/>
  <c r="DX94" i="2"/>
  <c r="DW94" i="2"/>
  <c r="DV94" i="2"/>
  <c r="DU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E94" i="2"/>
  <c r="DD94" i="2"/>
  <c r="CU94" i="2"/>
  <c r="CD94" i="2"/>
  <c r="EJ94" i="2" s="1"/>
  <c r="CB94" i="2"/>
  <c r="BZ94" i="2"/>
  <c r="BY94" i="2"/>
  <c r="BX94" i="2"/>
  <c r="BW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AW94" i="2"/>
  <c r="X94" i="2"/>
  <c r="DT94" i="2" s="1"/>
  <c r="G94" i="2"/>
  <c r="DX93" i="2"/>
  <c r="DW93" i="2"/>
  <c r="DU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D93" i="2"/>
  <c r="DA93" i="2"/>
  <c r="DZ93" i="2" s="1"/>
  <c r="CW93" i="2"/>
  <c r="CV93" i="2"/>
  <c r="CU93" i="2"/>
  <c r="CF93" i="2"/>
  <c r="BZ93" i="2"/>
  <c r="BY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F93" i="2"/>
  <c r="BC93" i="2"/>
  <c r="CB93" i="2" s="1"/>
  <c r="AY93" i="2"/>
  <c r="BX93" i="2" s="1"/>
  <c r="AX93" i="2"/>
  <c r="BW93" i="2" s="1"/>
  <c r="AW93" i="2"/>
  <c r="AH93" i="2"/>
  <c r="AD93" i="2"/>
  <c r="Z93" i="2"/>
  <c r="Z153" i="2" s="1"/>
  <c r="X93" i="2"/>
  <c r="I93" i="2"/>
  <c r="DZ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E92" i="2"/>
  <c r="DD92" i="2"/>
  <c r="CD92" i="2"/>
  <c r="EJ92" i="2" s="1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AF92" i="2"/>
  <c r="G92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D91" i="2"/>
  <c r="D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F91" i="2"/>
  <c r="BC91" i="2"/>
  <c r="AF91" i="2" s="1"/>
  <c r="AD91" i="2"/>
  <c r="CB91" i="2" s="1"/>
  <c r="I91" i="2"/>
  <c r="I105" i="2" s="1"/>
  <c r="DZ90" i="2"/>
  <c r="DX90" i="2"/>
  <c r="DW90" i="2"/>
  <c r="DV90" i="2"/>
  <c r="DU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E90" i="2"/>
  <c r="DD90" i="2"/>
  <c r="CU90" i="2"/>
  <c r="CD90" i="2" s="1"/>
  <c r="EJ90" i="2" s="1"/>
  <c r="CB90" i="2"/>
  <c r="BZ90" i="2"/>
  <c r="BY90" i="2"/>
  <c r="BX90" i="2"/>
  <c r="BW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AW90" i="2"/>
  <c r="BV90" i="2" s="1"/>
  <c r="AF90" i="2"/>
  <c r="G90" i="2"/>
  <c r="DX89" i="2"/>
  <c r="DW89" i="2"/>
  <c r="DV89" i="2"/>
  <c r="DU89" i="2"/>
  <c r="DT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E89" i="2"/>
  <c r="DD89" i="2"/>
  <c r="DA89" i="2"/>
  <c r="CT89" i="2" s="1"/>
  <c r="BZ89" i="2"/>
  <c r="BY89" i="2"/>
  <c r="BX89" i="2"/>
  <c r="BW89" i="2"/>
  <c r="BV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C89" i="2"/>
  <c r="AV89" i="2"/>
  <c r="AD89" i="2"/>
  <c r="W89" i="2"/>
  <c r="DZ88" i="2"/>
  <c r="DX88" i="2"/>
  <c r="DW88" i="2"/>
  <c r="DV88" i="2"/>
  <c r="DU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E88" i="2"/>
  <c r="DD88" i="2"/>
  <c r="CU88" i="2"/>
  <c r="CD88" i="2" s="1"/>
  <c r="EJ88" i="2" s="1"/>
  <c r="CB88" i="2"/>
  <c r="BZ88" i="2"/>
  <c r="BY88" i="2"/>
  <c r="BX88" i="2"/>
  <c r="BW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AW88" i="2"/>
  <c r="BV88" i="2" s="1"/>
  <c r="AF88" i="2"/>
  <c r="G88" i="2"/>
  <c r="DZ87" i="2"/>
  <c r="DX87" i="2"/>
  <c r="DW87" i="2"/>
  <c r="DU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E87" i="2"/>
  <c r="DD87" i="2"/>
  <c r="CW87" i="2"/>
  <c r="DV87" i="2" s="1"/>
  <c r="CU87" i="2"/>
  <c r="CD87" i="2" s="1"/>
  <c r="EJ87" i="2" s="1"/>
  <c r="CB87" i="2"/>
  <c r="BZ87" i="2"/>
  <c r="BY87" i="2"/>
  <c r="BW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AY87" i="2"/>
  <c r="AW87" i="2" s="1"/>
  <c r="G87" i="2"/>
  <c r="DZ86" i="2"/>
  <c r="DX86" i="2"/>
  <c r="DW86" i="2"/>
  <c r="DV86" i="2"/>
  <c r="DU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E86" i="2"/>
  <c r="DD86" i="2"/>
  <c r="CU86" i="2"/>
  <c r="DT86" i="2" s="1"/>
  <c r="CB86" i="2"/>
  <c r="BZ86" i="2"/>
  <c r="BY86" i="2"/>
  <c r="BX86" i="2"/>
  <c r="BW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D86" i="2"/>
  <c r="AW86" i="2"/>
  <c r="BV86" i="2" s="1"/>
  <c r="G86" i="2"/>
  <c r="EI86" i="2" s="1"/>
  <c r="EB85" i="2"/>
  <c r="DZ85" i="2"/>
  <c r="DX85" i="2"/>
  <c r="DW85" i="2"/>
  <c r="DV85" i="2"/>
  <c r="DU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E85" i="2"/>
  <c r="DD85" i="2"/>
  <c r="CU85" i="2"/>
  <c r="CD85" i="2" s="1"/>
  <c r="EJ85" i="2" s="1"/>
  <c r="CB85" i="2"/>
  <c r="BZ85" i="2"/>
  <c r="BY85" i="2"/>
  <c r="BX85" i="2"/>
  <c r="BW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D85" i="2"/>
  <c r="AW85" i="2"/>
  <c r="AF85" i="2" s="1"/>
  <c r="G85" i="2"/>
  <c r="EI85" i="2" s="1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E84" i="2"/>
  <c r="DD84" i="2"/>
  <c r="DA84" i="2"/>
  <c r="CW84" i="2"/>
  <c r="DV84" i="2" s="1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C84" i="2"/>
  <c r="AY84" i="2"/>
  <c r="BX84" i="2" s="1"/>
  <c r="AD84" i="2"/>
  <c r="DZ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D83" i="2"/>
  <c r="CF83" i="2"/>
  <c r="CB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F83" i="2"/>
  <c r="AH83" i="2"/>
  <c r="BG83" i="2" s="1"/>
  <c r="G83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D82" i="2"/>
  <c r="CF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F82" i="2"/>
  <c r="BC82" i="2"/>
  <c r="AH82" i="2"/>
  <c r="AD82" i="2"/>
  <c r="G82" i="2"/>
  <c r="EI82" i="2" s="1"/>
  <c r="DY81" i="2"/>
  <c r="CZ81" i="2"/>
  <c r="CX81" i="2"/>
  <c r="CM81" i="2"/>
  <c r="CK81" i="2"/>
  <c r="CJ81" i="2"/>
  <c r="CI81" i="2"/>
  <c r="CG81" i="2"/>
  <c r="CF81" i="2"/>
  <c r="CE81" i="2"/>
  <c r="CA81" i="2"/>
  <c r="BB81" i="2"/>
  <c r="AZ81" i="2"/>
  <c r="AM81" i="2"/>
  <c r="AL81" i="2"/>
  <c r="AK81" i="2"/>
  <c r="AI81" i="2"/>
  <c r="AH81" i="2"/>
  <c r="AG81" i="2"/>
  <c r="AC81" i="2"/>
  <c r="AA81" i="2"/>
  <c r="Y81" i="2"/>
  <c r="X81" i="2"/>
  <c r="U81" i="2"/>
  <c r="T81" i="2"/>
  <c r="N81" i="2"/>
  <c r="M81" i="2"/>
  <c r="L81" i="2"/>
  <c r="K81" i="2"/>
  <c r="J81" i="2"/>
  <c r="I81" i="2"/>
  <c r="H81" i="2"/>
  <c r="DZ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J80" i="2"/>
  <c r="DI80" i="2"/>
  <c r="DH80" i="2"/>
  <c r="DG80" i="2"/>
  <c r="DF80" i="2"/>
  <c r="DE80" i="2"/>
  <c r="DD80" i="2"/>
  <c r="CL80" i="2"/>
  <c r="CB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L80" i="2"/>
  <c r="BK80" i="2"/>
  <c r="BJ80" i="2"/>
  <c r="BI80" i="2"/>
  <c r="BH80" i="2"/>
  <c r="BG80" i="2"/>
  <c r="BF80" i="2"/>
  <c r="AY80" i="2"/>
  <c r="AN80" i="2"/>
  <c r="BM80" i="2" s="1"/>
  <c r="AD80" i="2"/>
  <c r="Z80" i="2"/>
  <c r="G80" i="2"/>
  <c r="EB80" i="2" s="1"/>
  <c r="DX79" i="2"/>
  <c r="DW79" i="2"/>
  <c r="DU79" i="2"/>
  <c r="DT79" i="2"/>
  <c r="DS79" i="2"/>
  <c r="DR79" i="2"/>
  <c r="DQ79" i="2"/>
  <c r="DP79" i="2"/>
  <c r="DO79" i="2"/>
  <c r="DN79" i="2"/>
  <c r="DM79" i="2"/>
  <c r="DL79" i="2"/>
  <c r="DJ79" i="2"/>
  <c r="DI79" i="2"/>
  <c r="DH79" i="2"/>
  <c r="DG79" i="2"/>
  <c r="DF79" i="2"/>
  <c r="DE79" i="2"/>
  <c r="DD79" i="2"/>
  <c r="D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L79" i="2"/>
  <c r="BK79" i="2"/>
  <c r="BJ79" i="2"/>
  <c r="BI79" i="2"/>
  <c r="BH79" i="2"/>
  <c r="BG79" i="2"/>
  <c r="BF79" i="2"/>
  <c r="BC79" i="2"/>
  <c r="AF79" i="2" s="1"/>
  <c r="AD79" i="2"/>
  <c r="Z79" i="2"/>
  <c r="BX79" i="2" s="1"/>
  <c r="O79" i="2"/>
  <c r="DK79" i="2" s="1"/>
  <c r="DX78" i="2"/>
  <c r="DW78" i="2"/>
  <c r="DU78" i="2"/>
  <c r="DT78" i="2"/>
  <c r="DS78" i="2"/>
  <c r="DR78" i="2"/>
  <c r="DQ78" i="2"/>
  <c r="DP78" i="2"/>
  <c r="DO78" i="2"/>
  <c r="DN78" i="2"/>
  <c r="DM78" i="2"/>
  <c r="DL78" i="2"/>
  <c r="DJ78" i="2"/>
  <c r="DI78" i="2"/>
  <c r="DH78" i="2"/>
  <c r="DG78" i="2"/>
  <c r="DF78" i="2"/>
  <c r="DE78" i="2"/>
  <c r="DD78" i="2"/>
  <c r="DA78" i="2"/>
  <c r="DZ78" i="2" s="1"/>
  <c r="CW78" i="2"/>
  <c r="CL78" i="2"/>
  <c r="DK78" i="2" s="1"/>
  <c r="BZ78" i="2"/>
  <c r="BY78" i="2"/>
  <c r="BW78" i="2"/>
  <c r="BV78" i="2"/>
  <c r="BU78" i="2"/>
  <c r="BT78" i="2"/>
  <c r="BS78" i="2"/>
  <c r="BR78" i="2"/>
  <c r="BQ78" i="2"/>
  <c r="BP78" i="2"/>
  <c r="BO78" i="2"/>
  <c r="BN78" i="2"/>
  <c r="BL78" i="2"/>
  <c r="BK78" i="2"/>
  <c r="BJ78" i="2"/>
  <c r="BI78" i="2"/>
  <c r="BH78" i="2"/>
  <c r="BG78" i="2"/>
  <c r="BF78" i="2"/>
  <c r="BC78" i="2"/>
  <c r="CB78" i="2" s="1"/>
  <c r="AY78" i="2"/>
  <c r="AN78" i="2"/>
  <c r="BM78" i="2" s="1"/>
  <c r="AD78" i="2"/>
  <c r="Z78" i="2"/>
  <c r="BX78" i="2" s="1"/>
  <c r="O78" i="2"/>
  <c r="DZ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CD77" i="2"/>
  <c r="EJ77" i="2" s="1"/>
  <c r="CB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AF77" i="2"/>
  <c r="G77" i="2"/>
  <c r="EB77" i="2" s="1"/>
  <c r="DX76" i="2"/>
  <c r="DW76" i="2"/>
  <c r="DU76" i="2"/>
  <c r="DT76" i="2"/>
  <c r="DS76" i="2"/>
  <c r="DR76" i="2"/>
  <c r="DQ76" i="2"/>
  <c r="DP76" i="2"/>
  <c r="DN76" i="2"/>
  <c r="DM76" i="2"/>
  <c r="DL76" i="2"/>
  <c r="DJ76" i="2"/>
  <c r="DI76" i="2"/>
  <c r="DH76" i="2"/>
  <c r="DG76" i="2"/>
  <c r="DF76" i="2"/>
  <c r="DE76" i="2"/>
  <c r="DD76" i="2"/>
  <c r="CW76" i="2"/>
  <c r="CP76" i="2"/>
  <c r="CL76" i="2"/>
  <c r="BZ76" i="2"/>
  <c r="BY76" i="2"/>
  <c r="BW76" i="2"/>
  <c r="BV76" i="2"/>
  <c r="BU76" i="2"/>
  <c r="BT76" i="2"/>
  <c r="BS76" i="2"/>
  <c r="BR76" i="2"/>
  <c r="BP76" i="2"/>
  <c r="BO76" i="2"/>
  <c r="BN76" i="2"/>
  <c r="BL76" i="2"/>
  <c r="BK76" i="2"/>
  <c r="BJ76" i="2"/>
  <c r="BI76" i="2"/>
  <c r="BH76" i="2"/>
  <c r="BG76" i="2"/>
  <c r="BF76" i="2"/>
  <c r="BC76" i="2"/>
  <c r="AY76" i="2"/>
  <c r="AR76" i="2"/>
  <c r="AN76" i="2"/>
  <c r="AD76" i="2"/>
  <c r="DZ76" i="2" s="1"/>
  <c r="Z76" i="2"/>
  <c r="S76" i="2"/>
  <c r="G76" i="2" s="1"/>
  <c r="EB76" i="2" s="1"/>
  <c r="O76" i="2"/>
  <c r="DZ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CD75" i="2"/>
  <c r="CB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AF75" i="2"/>
  <c r="G75" i="2"/>
  <c r="EB75" i="2" s="1"/>
  <c r="DZ74" i="2"/>
  <c r="DX74" i="2"/>
  <c r="DW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G74" i="2"/>
  <c r="DF74" i="2"/>
  <c r="DE74" i="2"/>
  <c r="DD74" i="2"/>
  <c r="CW74" i="2"/>
  <c r="CD74" i="2" s="1"/>
  <c r="EJ74" i="2" s="1"/>
  <c r="CB74" i="2"/>
  <c r="BZ74" i="2"/>
  <c r="BY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I74" i="2"/>
  <c r="BH74" i="2"/>
  <c r="BG74" i="2"/>
  <c r="BF74" i="2"/>
  <c r="AY74" i="2"/>
  <c r="AF74" i="2" s="1"/>
  <c r="Z74" i="2"/>
  <c r="G74" i="2"/>
  <c r="EB74" i="2" s="1"/>
  <c r="DZ73" i="2"/>
  <c r="DX73" i="2"/>
  <c r="DW73" i="2"/>
  <c r="DU73" i="2"/>
  <c r="DT73" i="2"/>
  <c r="DR73" i="2"/>
  <c r="DQ73" i="2"/>
  <c r="DP73" i="2"/>
  <c r="DO73" i="2"/>
  <c r="DN73" i="2"/>
  <c r="DM73" i="2"/>
  <c r="DL73" i="2"/>
  <c r="DJ73" i="2"/>
  <c r="DI73" i="2"/>
  <c r="DH73" i="2"/>
  <c r="DG73" i="2"/>
  <c r="DF73" i="2"/>
  <c r="DE73" i="2"/>
  <c r="DD73" i="2"/>
  <c r="CW73" i="2"/>
  <c r="DV73" i="2" s="1"/>
  <c r="CB73" i="2"/>
  <c r="BZ73" i="2"/>
  <c r="BY73" i="2"/>
  <c r="BW73" i="2"/>
  <c r="BV73" i="2"/>
  <c r="BT73" i="2"/>
  <c r="BS73" i="2"/>
  <c r="BR73" i="2"/>
  <c r="BQ73" i="2"/>
  <c r="BP73" i="2"/>
  <c r="BO73" i="2"/>
  <c r="BN73" i="2"/>
  <c r="BL73" i="2"/>
  <c r="BK73" i="2"/>
  <c r="BJ73" i="2"/>
  <c r="BI73" i="2"/>
  <c r="BH73" i="2"/>
  <c r="BG73" i="2"/>
  <c r="BF73" i="2"/>
  <c r="AY73" i="2"/>
  <c r="BX73" i="2" s="1"/>
  <c r="AV73" i="2"/>
  <c r="AV151" i="2" s="1"/>
  <c r="W73" i="2"/>
  <c r="W151" i="2" s="1"/>
  <c r="O73" i="2"/>
  <c r="BM73" i="2" s="1"/>
  <c r="G73" i="2"/>
  <c r="EB73" i="2" s="1"/>
  <c r="DZ72" i="2"/>
  <c r="DX72" i="2"/>
  <c r="DW72" i="2"/>
  <c r="DV72" i="2"/>
  <c r="DU72" i="2"/>
  <c r="DT72" i="2"/>
  <c r="DS72" i="2"/>
  <c r="DR72" i="2"/>
  <c r="DQ72" i="2"/>
  <c r="DP72" i="2"/>
  <c r="DN72" i="2"/>
  <c r="DM72" i="2"/>
  <c r="DL72" i="2"/>
  <c r="DJ72" i="2"/>
  <c r="DI72" i="2"/>
  <c r="DH72" i="2"/>
  <c r="DG72" i="2"/>
  <c r="DF72" i="2"/>
  <c r="DE72" i="2"/>
  <c r="DD72" i="2"/>
  <c r="CL72" i="2"/>
  <c r="CD72" i="2"/>
  <c r="EJ72" i="2" s="1"/>
  <c r="CB72" i="2"/>
  <c r="BZ72" i="2"/>
  <c r="BY72" i="2"/>
  <c r="BX72" i="2"/>
  <c r="BW72" i="2"/>
  <c r="BV72" i="2"/>
  <c r="BU72" i="2"/>
  <c r="BT72" i="2"/>
  <c r="BS72" i="2"/>
  <c r="BR72" i="2"/>
  <c r="BP72" i="2"/>
  <c r="BO72" i="2"/>
  <c r="BN72" i="2"/>
  <c r="BL72" i="2"/>
  <c r="BK72" i="2"/>
  <c r="BJ72" i="2"/>
  <c r="BI72" i="2"/>
  <c r="BH72" i="2"/>
  <c r="BG72" i="2"/>
  <c r="BF72" i="2"/>
  <c r="AN72" i="2"/>
  <c r="AF72" i="2"/>
  <c r="S72" i="2"/>
  <c r="BQ72" i="2" s="1"/>
  <c r="O72" i="2"/>
  <c r="DZ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E71" i="2"/>
  <c r="DD71" i="2"/>
  <c r="CD71" i="2"/>
  <c r="CB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G71" i="2"/>
  <c r="BF71" i="2"/>
  <c r="AF71" i="2"/>
  <c r="G71" i="2"/>
  <c r="EB71" i="2" s="1"/>
  <c r="DZ70" i="2"/>
  <c r="DX70" i="2"/>
  <c r="DW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G70" i="2"/>
  <c r="DF70" i="2"/>
  <c r="DE70" i="2"/>
  <c r="DD70" i="2"/>
  <c r="CW70" i="2"/>
  <c r="CD70" i="2" s="1"/>
  <c r="CB70" i="2"/>
  <c r="BZ70" i="2"/>
  <c r="BY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AY70" i="2"/>
  <c r="BX70" i="2" s="1"/>
  <c r="G70" i="2"/>
  <c r="EB70" i="2" s="1"/>
  <c r="DZ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F69" i="2"/>
  <c r="DE69" i="2"/>
  <c r="DD69" i="2"/>
  <c r="CD69" i="2"/>
  <c r="EJ69" i="2" s="1"/>
  <c r="CB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AF69" i="2"/>
  <c r="G69" i="2"/>
  <c r="EB69" i="2" s="1"/>
  <c r="DZ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CD68" i="2"/>
  <c r="EJ68" i="2" s="1"/>
  <c r="CB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AF68" i="2"/>
  <c r="G68" i="2"/>
  <c r="EB68" i="2" s="1"/>
  <c r="DZ67" i="2"/>
  <c r="DX67" i="2"/>
  <c r="DW67" i="2"/>
  <c r="DV67" i="2"/>
  <c r="DU67" i="2"/>
  <c r="DT67" i="2"/>
  <c r="DS67" i="2"/>
  <c r="DR67" i="2"/>
  <c r="DQ67" i="2"/>
  <c r="DP67" i="2"/>
  <c r="DO67" i="2"/>
  <c r="DL67" i="2"/>
  <c r="DJ67" i="2"/>
  <c r="DI67" i="2"/>
  <c r="DH67" i="2"/>
  <c r="DG67" i="2"/>
  <c r="DF67" i="2"/>
  <c r="DE67" i="2"/>
  <c r="DD67" i="2"/>
  <c r="CN67" i="2"/>
  <c r="CN151" i="2" s="1"/>
  <c r="CM67" i="2"/>
  <c r="CM151" i="2" s="1"/>
  <c r="CL67" i="2"/>
  <c r="DK67" i="2" s="1"/>
  <c r="CB67" i="2"/>
  <c r="BZ67" i="2"/>
  <c r="BY67" i="2"/>
  <c r="BX67" i="2"/>
  <c r="BW67" i="2"/>
  <c r="BV67" i="2"/>
  <c r="BU67" i="2"/>
  <c r="BT67" i="2"/>
  <c r="BS67" i="2"/>
  <c r="BR67" i="2"/>
  <c r="BQ67" i="2"/>
  <c r="BL67" i="2"/>
  <c r="BK67" i="2"/>
  <c r="BJ67" i="2"/>
  <c r="BI67" i="2"/>
  <c r="BH67" i="2"/>
  <c r="BG67" i="2"/>
  <c r="BF67" i="2"/>
  <c r="AQ67" i="2"/>
  <c r="BP67" i="2" s="1"/>
  <c r="AP67" i="2"/>
  <c r="AP151" i="2" s="1"/>
  <c r="AO67" i="2"/>
  <c r="AO151" i="2" s="1"/>
  <c r="AN67" i="2"/>
  <c r="R67" i="2"/>
  <c r="DN67" i="2" s="1"/>
  <c r="Q67" i="2"/>
  <c r="P67" i="2"/>
  <c r="DZ66" i="2"/>
  <c r="DX66" i="2"/>
  <c r="DW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CW66" i="2"/>
  <c r="CD66" i="2" s="1"/>
  <c r="CB66" i="2"/>
  <c r="BZ66" i="2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AY66" i="2"/>
  <c r="BX66" i="2" s="1"/>
  <c r="G66" i="2"/>
  <c r="EB66" i="2" s="1"/>
  <c r="DZ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J65" i="2"/>
  <c r="DI65" i="2"/>
  <c r="DH65" i="2"/>
  <c r="DG65" i="2"/>
  <c r="DF65" i="2"/>
  <c r="DE65" i="2"/>
  <c r="DD65" i="2"/>
  <c r="CL65" i="2"/>
  <c r="DK65" i="2" s="1"/>
  <c r="CD65" i="2"/>
  <c r="EJ65" i="2" s="1"/>
  <c r="CB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L65" i="2"/>
  <c r="BK65" i="2"/>
  <c r="BJ65" i="2"/>
  <c r="BI65" i="2"/>
  <c r="BH65" i="2"/>
  <c r="BG65" i="2"/>
  <c r="BF65" i="2"/>
  <c r="AN65" i="2"/>
  <c r="AF65" i="2" s="1"/>
  <c r="G65" i="2"/>
  <c r="EB65" i="2" s="1"/>
  <c r="DX64" i="2"/>
  <c r="DW64" i="2"/>
  <c r="DT64" i="2"/>
  <c r="DS64" i="2"/>
  <c r="DR64" i="2"/>
  <c r="DQ64" i="2"/>
  <c r="DP64" i="2"/>
  <c r="DM64" i="2"/>
  <c r="DK64" i="2"/>
  <c r="DJ64" i="2"/>
  <c r="DI64" i="2"/>
  <c r="DH64" i="2"/>
  <c r="DG64" i="2"/>
  <c r="DF64" i="2"/>
  <c r="DE64" i="2"/>
  <c r="DD64" i="2"/>
  <c r="CW64" i="2"/>
  <c r="DV64" i="2" s="1"/>
  <c r="CV64" i="2"/>
  <c r="BZ64" i="2"/>
  <c r="BY64" i="2"/>
  <c r="BV64" i="2"/>
  <c r="BU64" i="2"/>
  <c r="BT64" i="2"/>
  <c r="BS64" i="2"/>
  <c r="BR64" i="2"/>
  <c r="BM64" i="2"/>
  <c r="BL64" i="2"/>
  <c r="BK64" i="2"/>
  <c r="BJ64" i="2"/>
  <c r="BI64" i="2"/>
  <c r="BH64" i="2"/>
  <c r="BG64" i="2"/>
  <c r="BF64" i="2"/>
  <c r="AY64" i="2"/>
  <c r="BX64" i="2" s="1"/>
  <c r="AX64" i="2"/>
  <c r="AX151" i="2" s="1"/>
  <c r="AR64" i="2"/>
  <c r="AD64" i="2"/>
  <c r="CB64" i="2" s="1"/>
  <c r="S64" i="2"/>
  <c r="R64" i="2"/>
  <c r="Q64" i="2"/>
  <c r="BO64" i="2" s="1"/>
  <c r="P64" i="2"/>
  <c r="G64" i="2" s="1"/>
  <c r="EB64" i="2" s="1"/>
  <c r="DZ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G63" i="2"/>
  <c r="DF63" i="2"/>
  <c r="DE63" i="2"/>
  <c r="DD63" i="2"/>
  <c r="CL63" i="2"/>
  <c r="DK63" i="2" s="1"/>
  <c r="CD63" i="2"/>
  <c r="EJ63" i="2" s="1"/>
  <c r="CB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I63" i="2"/>
  <c r="BH63" i="2"/>
  <c r="BG63" i="2"/>
  <c r="BF63" i="2"/>
  <c r="AN63" i="2"/>
  <c r="BM63" i="2" s="1"/>
  <c r="G63" i="2"/>
  <c r="EB63" i="2" s="1"/>
  <c r="DX62" i="2"/>
  <c r="DW62" i="2"/>
  <c r="DU62" i="2"/>
  <c r="DT62" i="2"/>
  <c r="DS62" i="2"/>
  <c r="DR62" i="2"/>
  <c r="DQ62" i="2"/>
  <c r="DP62" i="2"/>
  <c r="DO62" i="2"/>
  <c r="DN62" i="2"/>
  <c r="DM62" i="2"/>
  <c r="DL62" i="2"/>
  <c r="DJ62" i="2"/>
  <c r="DI62" i="2"/>
  <c r="DH62" i="2"/>
  <c r="DG62" i="2"/>
  <c r="DF62" i="2"/>
  <c r="DE62" i="2"/>
  <c r="DD62" i="2"/>
  <c r="CW62" i="2"/>
  <c r="DV62" i="2" s="1"/>
  <c r="CL62" i="2"/>
  <c r="DK62" i="2" s="1"/>
  <c r="CB62" i="2"/>
  <c r="BZ62" i="2"/>
  <c r="BY62" i="2"/>
  <c r="BW62" i="2"/>
  <c r="BV62" i="2"/>
  <c r="BU62" i="2"/>
  <c r="BT62" i="2"/>
  <c r="BS62" i="2"/>
  <c r="BR62" i="2"/>
  <c r="BQ62" i="2"/>
  <c r="BP62" i="2"/>
  <c r="BO62" i="2"/>
  <c r="BN62" i="2"/>
  <c r="BL62" i="2"/>
  <c r="BK62" i="2"/>
  <c r="BJ62" i="2"/>
  <c r="BI62" i="2"/>
  <c r="BH62" i="2"/>
  <c r="BG62" i="2"/>
  <c r="BF62" i="2"/>
  <c r="AY62" i="2"/>
  <c r="BX62" i="2" s="1"/>
  <c r="AN62" i="2"/>
  <c r="AD62" i="2"/>
  <c r="DZ62" i="2" s="1"/>
  <c r="G62" i="2"/>
  <c r="EB62" i="2" s="1"/>
  <c r="DX61" i="2"/>
  <c r="DW61" i="2"/>
  <c r="DV61" i="2"/>
  <c r="DU61" i="2"/>
  <c r="DT61" i="2"/>
  <c r="DS61" i="2"/>
  <c r="DR61" i="2"/>
  <c r="DP61" i="2"/>
  <c r="DO61" i="2"/>
  <c r="DM61" i="2"/>
  <c r="DL61" i="2"/>
  <c r="DJ61" i="2"/>
  <c r="DI61" i="2"/>
  <c r="DH61" i="2"/>
  <c r="DG61" i="2"/>
  <c r="DF61" i="2"/>
  <c r="DE61" i="2"/>
  <c r="DD61" i="2"/>
  <c r="DA61" i="2"/>
  <c r="CR61" i="2"/>
  <c r="CO61" i="2"/>
  <c r="CL61" i="2"/>
  <c r="DK61" i="2" s="1"/>
  <c r="BZ61" i="2"/>
  <c r="BY61" i="2"/>
  <c r="BX61" i="2"/>
  <c r="BW61" i="2"/>
  <c r="BV61" i="2"/>
  <c r="BU61" i="2"/>
  <c r="BT61" i="2"/>
  <c r="BR61" i="2"/>
  <c r="BQ61" i="2"/>
  <c r="BO61" i="2"/>
  <c r="BN61" i="2"/>
  <c r="BL61" i="2"/>
  <c r="BK61" i="2"/>
  <c r="BJ61" i="2"/>
  <c r="BI61" i="2"/>
  <c r="BH61" i="2"/>
  <c r="BG61" i="2"/>
  <c r="BF61" i="2"/>
  <c r="BC61" i="2"/>
  <c r="AT61" i="2"/>
  <c r="BS61" i="2" s="1"/>
  <c r="AQ61" i="2"/>
  <c r="BP61" i="2" s="1"/>
  <c r="AN61" i="2"/>
  <c r="BM61" i="2" s="1"/>
  <c r="AD61" i="2"/>
  <c r="U61" i="2"/>
  <c r="U151" i="2" s="1"/>
  <c r="G61" i="2"/>
  <c r="EB61" i="2" s="1"/>
  <c r="DZ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J60" i="2"/>
  <c r="DI60" i="2"/>
  <c r="DH60" i="2"/>
  <c r="DG60" i="2"/>
  <c r="DF60" i="2"/>
  <c r="DE60" i="2"/>
  <c r="DD60" i="2"/>
  <c r="CL60" i="2"/>
  <c r="CB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L60" i="2"/>
  <c r="BK60" i="2"/>
  <c r="BJ60" i="2"/>
  <c r="BI60" i="2"/>
  <c r="BH60" i="2"/>
  <c r="BG60" i="2"/>
  <c r="BF60" i="2"/>
  <c r="AN60" i="2"/>
  <c r="AF60" i="2" s="1"/>
  <c r="O60" i="2"/>
  <c r="G60" i="2" s="1"/>
  <c r="EB60" i="2" s="1"/>
  <c r="DZ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G59" i="2"/>
  <c r="DF59" i="2"/>
  <c r="DE59" i="2"/>
  <c r="DD59" i="2"/>
  <c r="CD59" i="2"/>
  <c r="EJ59" i="2" s="1"/>
  <c r="CB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AF59" i="2"/>
  <c r="G59" i="2"/>
  <c r="DZ58" i="2"/>
  <c r="DX58" i="2"/>
  <c r="DW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G58" i="2"/>
  <c r="DF58" i="2"/>
  <c r="DE58" i="2"/>
  <c r="DD58" i="2"/>
  <c r="CW58" i="2"/>
  <c r="CB58" i="2"/>
  <c r="BZ58" i="2"/>
  <c r="BY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F58" i="2"/>
  <c r="AY58" i="2"/>
  <c r="AF58" i="2" s="1"/>
  <c r="Z58" i="2"/>
  <c r="G58" i="2"/>
  <c r="AE58" i="2" s="1"/>
  <c r="BD58" i="2" s="1"/>
  <c r="DZ57" i="2"/>
  <c r="DX57" i="2"/>
  <c r="DW57" i="2"/>
  <c r="DU57" i="2"/>
  <c r="DT57" i="2"/>
  <c r="DS57" i="2"/>
  <c r="DR57" i="2"/>
  <c r="DQ57" i="2"/>
  <c r="DP57" i="2"/>
  <c r="DO57" i="2"/>
  <c r="DN57" i="2"/>
  <c r="DM57" i="2"/>
  <c r="DL57" i="2"/>
  <c r="DJ57" i="2"/>
  <c r="DI57" i="2"/>
  <c r="DH57" i="2"/>
  <c r="DG57" i="2"/>
  <c r="DF57" i="2"/>
  <c r="DE57" i="2"/>
  <c r="DD57" i="2"/>
  <c r="CW57" i="2"/>
  <c r="DV57" i="2" s="1"/>
  <c r="CL57" i="2"/>
  <c r="CB57" i="2"/>
  <c r="BZ57" i="2"/>
  <c r="BY57" i="2"/>
  <c r="BW57" i="2"/>
  <c r="BV57" i="2"/>
  <c r="BU57" i="2"/>
  <c r="BT57" i="2"/>
  <c r="BS57" i="2"/>
  <c r="BR57" i="2"/>
  <c r="BQ57" i="2"/>
  <c r="BP57" i="2"/>
  <c r="BO57" i="2"/>
  <c r="BN57" i="2"/>
  <c r="BL57" i="2"/>
  <c r="BK57" i="2"/>
  <c r="BJ57" i="2"/>
  <c r="BI57" i="2"/>
  <c r="BH57" i="2"/>
  <c r="BG57" i="2"/>
  <c r="BF57" i="2"/>
  <c r="AY57" i="2"/>
  <c r="BX57" i="2" s="1"/>
  <c r="AN57" i="2"/>
  <c r="BM57" i="2" s="1"/>
  <c r="G57" i="2"/>
  <c r="EB57" i="2" s="1"/>
  <c r="DZ56" i="2"/>
  <c r="DX56" i="2"/>
  <c r="DW56" i="2"/>
  <c r="DU56" i="2"/>
  <c r="DT56" i="2"/>
  <c r="DS56" i="2"/>
  <c r="DR56" i="2"/>
  <c r="DQ56" i="2"/>
  <c r="DP56" i="2"/>
  <c r="DO56" i="2"/>
  <c r="DN56" i="2"/>
  <c r="DM56" i="2"/>
  <c r="DL56" i="2"/>
  <c r="DJ56" i="2"/>
  <c r="DI56" i="2"/>
  <c r="DH56" i="2"/>
  <c r="DG56" i="2"/>
  <c r="DF56" i="2"/>
  <c r="DE56" i="2"/>
  <c r="DD56" i="2"/>
  <c r="CW56" i="2"/>
  <c r="CL56" i="2"/>
  <c r="DK56" i="2" s="1"/>
  <c r="CB56" i="2"/>
  <c r="BZ56" i="2"/>
  <c r="BY56" i="2"/>
  <c r="BW56" i="2"/>
  <c r="BV56" i="2"/>
  <c r="BU56" i="2"/>
  <c r="BT56" i="2"/>
  <c r="BS56" i="2"/>
  <c r="BR56" i="2"/>
  <c r="BQ56" i="2"/>
  <c r="BP56" i="2"/>
  <c r="BO56" i="2"/>
  <c r="BN56" i="2"/>
  <c r="BL56" i="2"/>
  <c r="BK56" i="2"/>
  <c r="BJ56" i="2"/>
  <c r="BI56" i="2"/>
  <c r="BH56" i="2"/>
  <c r="BG56" i="2"/>
  <c r="BF56" i="2"/>
  <c r="AY56" i="2"/>
  <c r="AN56" i="2"/>
  <c r="BM56" i="2" s="1"/>
  <c r="Z56" i="2"/>
  <c r="DV56" i="2" s="1"/>
  <c r="G56" i="2"/>
  <c r="EB56" i="2" s="1"/>
  <c r="DZ55" i="2"/>
  <c r="DX55" i="2"/>
  <c r="DW55" i="2"/>
  <c r="DU55" i="2"/>
  <c r="DT55" i="2"/>
  <c r="DS55" i="2"/>
  <c r="DR55" i="2"/>
  <c r="DQ55" i="2"/>
  <c r="DP55" i="2"/>
  <c r="DO55" i="2"/>
  <c r="DN55" i="2"/>
  <c r="DM55" i="2"/>
  <c r="DL55" i="2"/>
  <c r="DJ55" i="2"/>
  <c r="DI55" i="2"/>
  <c r="DH55" i="2"/>
  <c r="DG55" i="2"/>
  <c r="DF55" i="2"/>
  <c r="DE55" i="2"/>
  <c r="DD55" i="2"/>
  <c r="CW55" i="2"/>
  <c r="CL55" i="2"/>
  <c r="CB55" i="2"/>
  <c r="BZ55" i="2"/>
  <c r="BY55" i="2"/>
  <c r="BW55" i="2"/>
  <c r="BV55" i="2"/>
  <c r="BU55" i="2"/>
  <c r="BT55" i="2"/>
  <c r="BS55" i="2"/>
  <c r="BR55" i="2"/>
  <c r="BQ55" i="2"/>
  <c r="BP55" i="2"/>
  <c r="BO55" i="2"/>
  <c r="BN55" i="2"/>
  <c r="BL55" i="2"/>
  <c r="BK55" i="2"/>
  <c r="BJ55" i="2"/>
  <c r="BI55" i="2"/>
  <c r="BH55" i="2"/>
  <c r="BG55" i="2"/>
  <c r="BF55" i="2"/>
  <c r="AY55" i="2"/>
  <c r="AN55" i="2"/>
  <c r="Z55" i="2"/>
  <c r="DZ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J54" i="2"/>
  <c r="DI54" i="2"/>
  <c r="DH54" i="2"/>
  <c r="DG54" i="2"/>
  <c r="DF54" i="2"/>
  <c r="DE54" i="2"/>
  <c r="DD54" i="2"/>
  <c r="CL54" i="2"/>
  <c r="CB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L54" i="2"/>
  <c r="BK54" i="2"/>
  <c r="BJ54" i="2"/>
  <c r="BI54" i="2"/>
  <c r="BH54" i="2"/>
  <c r="BG54" i="2"/>
  <c r="BF54" i="2"/>
  <c r="AN54" i="2"/>
  <c r="AF54" i="2" s="1"/>
  <c r="G54" i="2"/>
  <c r="EB54" i="2" s="1"/>
  <c r="DZ53" i="2"/>
  <c r="DX53" i="2"/>
  <c r="DW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DE53" i="2"/>
  <c r="DD53" i="2"/>
  <c r="CW53" i="2"/>
  <c r="CD53" i="2" s="1"/>
  <c r="EJ53" i="2" s="1"/>
  <c r="CB53" i="2"/>
  <c r="BZ53" i="2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AY53" i="2"/>
  <c r="AF53" i="2"/>
  <c r="Z53" i="2"/>
  <c r="G53" i="2"/>
  <c r="EB53" i="2" s="1"/>
  <c r="DZ52" i="2"/>
  <c r="DX52" i="2"/>
  <c r="DW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CW52" i="2"/>
  <c r="CD52" i="2" s="1"/>
  <c r="EJ52" i="2" s="1"/>
  <c r="CB52" i="2"/>
  <c r="BZ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AY52" i="2"/>
  <c r="AF52" i="2" s="1"/>
  <c r="Z52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J51" i="2"/>
  <c r="DI51" i="2"/>
  <c r="DH51" i="2"/>
  <c r="DG51" i="2"/>
  <c r="DF51" i="2"/>
  <c r="DE51" i="2"/>
  <c r="DD51" i="2"/>
  <c r="DA51" i="2"/>
  <c r="CL51" i="2"/>
  <c r="CD51" i="2"/>
  <c r="EJ51" i="2" s="1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L51" i="2"/>
  <c r="BK51" i="2"/>
  <c r="BJ51" i="2"/>
  <c r="BI51" i="2"/>
  <c r="BH51" i="2"/>
  <c r="BG51" i="2"/>
  <c r="BF51" i="2"/>
  <c r="BC51" i="2"/>
  <c r="AN51" i="2"/>
  <c r="AD51" i="2"/>
  <c r="DZ51" i="2" s="1"/>
  <c r="O51" i="2"/>
  <c r="G51" i="2"/>
  <c r="EB51" i="2" s="1"/>
  <c r="DZ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CD50" i="2"/>
  <c r="EJ50" i="2" s="1"/>
  <c r="CB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AF50" i="2"/>
  <c r="G50" i="2"/>
  <c r="EB50" i="2" s="1"/>
  <c r="DZ49" i="2"/>
  <c r="DW49" i="2"/>
  <c r="DU49" i="2"/>
  <c r="DS49" i="2"/>
  <c r="DR49" i="2"/>
  <c r="DQ49" i="2"/>
  <c r="DP49" i="2"/>
  <c r="DN49" i="2"/>
  <c r="DM49" i="2"/>
  <c r="DL49" i="2"/>
  <c r="DK49" i="2"/>
  <c r="DJ49" i="2"/>
  <c r="DI49" i="2"/>
  <c r="DH49" i="2"/>
  <c r="DG49" i="2"/>
  <c r="DF49" i="2"/>
  <c r="DE49" i="2"/>
  <c r="DD49" i="2"/>
  <c r="CY49" i="2"/>
  <c r="DX49" i="2" s="1"/>
  <c r="CW49" i="2"/>
  <c r="DV49" i="2" s="1"/>
  <c r="CU49" i="2"/>
  <c r="CP49" i="2"/>
  <c r="CB49" i="2"/>
  <c r="BY49" i="2"/>
  <c r="BW49" i="2"/>
  <c r="BU49" i="2"/>
  <c r="BT49" i="2"/>
  <c r="BS49" i="2"/>
  <c r="BR49" i="2"/>
  <c r="BP49" i="2"/>
  <c r="BO49" i="2"/>
  <c r="BN49" i="2"/>
  <c r="BM49" i="2"/>
  <c r="BL49" i="2"/>
  <c r="BK49" i="2"/>
  <c r="BJ49" i="2"/>
  <c r="BI49" i="2"/>
  <c r="BH49" i="2"/>
  <c r="BG49" i="2"/>
  <c r="BF49" i="2"/>
  <c r="BA49" i="2"/>
  <c r="AY49" i="2"/>
  <c r="BX49" i="2" s="1"/>
  <c r="AW49" i="2"/>
  <c r="BV49" i="2" s="1"/>
  <c r="AR49" i="2"/>
  <c r="AB49" i="2"/>
  <c r="S49" i="2"/>
  <c r="DZ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CD48" i="2"/>
  <c r="EJ48" i="2" s="1"/>
  <c r="CB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AF48" i="2"/>
  <c r="G48" i="2"/>
  <c r="EB48" i="2" s="1"/>
  <c r="DX47" i="2"/>
  <c r="DW47" i="2"/>
  <c r="DV47" i="2"/>
  <c r="DU47" i="2"/>
  <c r="DT47" i="2"/>
  <c r="DS47" i="2"/>
  <c r="DR47" i="2"/>
  <c r="DQ47" i="2"/>
  <c r="DP47" i="2"/>
  <c r="DO47" i="2"/>
  <c r="DN47" i="2"/>
  <c r="DM47" i="2"/>
  <c r="DL47" i="2"/>
  <c r="DJ47" i="2"/>
  <c r="DI47" i="2"/>
  <c r="DH47" i="2"/>
  <c r="DG47" i="2"/>
  <c r="DF47" i="2"/>
  <c r="DE47" i="2"/>
  <c r="DD47" i="2"/>
  <c r="DA47" i="2"/>
  <c r="CL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L47" i="2"/>
  <c r="BK47" i="2"/>
  <c r="BJ47" i="2"/>
  <c r="BI47" i="2"/>
  <c r="BH47" i="2"/>
  <c r="BG47" i="2"/>
  <c r="BF47" i="2"/>
  <c r="BC47" i="2"/>
  <c r="AN47" i="2"/>
  <c r="AD47" i="2"/>
  <c r="G47" i="2" s="1"/>
  <c r="EB47" i="2" s="1"/>
  <c r="O47" i="2"/>
  <c r="DK47" i="2" s="1"/>
  <c r="DZ46" i="2"/>
  <c r="DX46" i="2"/>
  <c r="DW46" i="2"/>
  <c r="DU46" i="2"/>
  <c r="DT46" i="2"/>
  <c r="DS46" i="2"/>
  <c r="DR46" i="2"/>
  <c r="DQ46" i="2"/>
  <c r="DP46" i="2"/>
  <c r="DO46" i="2"/>
  <c r="DN46" i="2"/>
  <c r="DM46" i="2"/>
  <c r="DL46" i="2"/>
  <c r="DJ46" i="2"/>
  <c r="DI46" i="2"/>
  <c r="DH46" i="2"/>
  <c r="DG46" i="2"/>
  <c r="DF46" i="2"/>
  <c r="DE46" i="2"/>
  <c r="DD46" i="2"/>
  <c r="CL46" i="2"/>
  <c r="CB46" i="2"/>
  <c r="BZ46" i="2"/>
  <c r="BY46" i="2"/>
  <c r="BW46" i="2"/>
  <c r="BV46" i="2"/>
  <c r="BU46" i="2"/>
  <c r="BT46" i="2"/>
  <c r="BS46" i="2"/>
  <c r="BR46" i="2"/>
  <c r="BQ46" i="2"/>
  <c r="BP46" i="2"/>
  <c r="BO46" i="2"/>
  <c r="BN46" i="2"/>
  <c r="BL46" i="2"/>
  <c r="BK46" i="2"/>
  <c r="BJ46" i="2"/>
  <c r="BI46" i="2"/>
  <c r="BH46" i="2"/>
  <c r="BG46" i="2"/>
  <c r="BF46" i="2"/>
  <c r="AY46" i="2"/>
  <c r="BX46" i="2" s="1"/>
  <c r="AN46" i="2"/>
  <c r="BM46" i="2" s="1"/>
  <c r="G46" i="2"/>
  <c r="EB46" i="2" s="1"/>
  <c r="DX45" i="2"/>
  <c r="DW45" i="2"/>
  <c r="DU45" i="2"/>
  <c r="DT45" i="2"/>
  <c r="DS45" i="2"/>
  <c r="DO45" i="2"/>
  <c r="DN45" i="2"/>
  <c r="DM45" i="2"/>
  <c r="DL45" i="2"/>
  <c r="DK45" i="2"/>
  <c r="DJ45" i="2"/>
  <c r="DI45" i="2"/>
  <c r="DH45" i="2"/>
  <c r="DG45" i="2"/>
  <c r="DF45" i="2"/>
  <c r="DE45" i="2"/>
  <c r="DD45" i="2"/>
  <c r="DA45" i="2"/>
  <c r="CW45" i="2"/>
  <c r="DV45" i="2" s="1"/>
  <c r="CS45" i="2"/>
  <c r="CR45" i="2"/>
  <c r="DQ45" i="2" s="1"/>
  <c r="CQ45" i="2"/>
  <c r="BZ45" i="2"/>
  <c r="BY45" i="2"/>
  <c r="BW45" i="2"/>
  <c r="BV45" i="2"/>
  <c r="BU45" i="2"/>
  <c r="BQ45" i="2"/>
  <c r="BP45" i="2"/>
  <c r="BO45" i="2"/>
  <c r="BN45" i="2"/>
  <c r="BM45" i="2"/>
  <c r="BL45" i="2"/>
  <c r="BK45" i="2"/>
  <c r="BJ45" i="2"/>
  <c r="BI45" i="2"/>
  <c r="BH45" i="2"/>
  <c r="BG45" i="2"/>
  <c r="BF45" i="2"/>
  <c r="BC45" i="2"/>
  <c r="AY45" i="2"/>
  <c r="BX45" i="2" s="1"/>
  <c r="AU45" i="2"/>
  <c r="AT45" i="2"/>
  <c r="BS45" i="2" s="1"/>
  <c r="AS45" i="2"/>
  <c r="BR45" i="2" s="1"/>
  <c r="AD45" i="2"/>
  <c r="V45" i="2"/>
  <c r="BT45" i="2" s="1"/>
  <c r="DZ44" i="2"/>
  <c r="DX44" i="2"/>
  <c r="DW44" i="2"/>
  <c r="DU44" i="2"/>
  <c r="DT44" i="2"/>
  <c r="DS44" i="2"/>
  <c r="DR44" i="2"/>
  <c r="DQ44" i="2"/>
  <c r="DP44" i="2"/>
  <c r="DO44" i="2"/>
  <c r="DN44" i="2"/>
  <c r="DM44" i="2"/>
  <c r="DL44" i="2"/>
  <c r="DJ44" i="2"/>
  <c r="DI44" i="2"/>
  <c r="DH44" i="2"/>
  <c r="DG44" i="2"/>
  <c r="DF44" i="2"/>
  <c r="DE44" i="2"/>
  <c r="DD44" i="2"/>
  <c r="CW44" i="2"/>
  <c r="CL44" i="2"/>
  <c r="CD44" i="2" s="1"/>
  <c r="EJ44" i="2" s="1"/>
  <c r="CB44" i="2"/>
  <c r="BZ44" i="2"/>
  <c r="BY44" i="2"/>
  <c r="BW44" i="2"/>
  <c r="BV44" i="2"/>
  <c r="BU44" i="2"/>
  <c r="BT44" i="2"/>
  <c r="BS44" i="2"/>
  <c r="BR44" i="2"/>
  <c r="BQ44" i="2"/>
  <c r="BP44" i="2"/>
  <c r="BO44" i="2"/>
  <c r="BN44" i="2"/>
  <c r="BL44" i="2"/>
  <c r="BK44" i="2"/>
  <c r="BJ44" i="2"/>
  <c r="BI44" i="2"/>
  <c r="BH44" i="2"/>
  <c r="BG44" i="2"/>
  <c r="BF44" i="2"/>
  <c r="AY44" i="2"/>
  <c r="AN44" i="2"/>
  <c r="Z44" i="2"/>
  <c r="DX43" i="2"/>
  <c r="DW43" i="2"/>
  <c r="DV43" i="2"/>
  <c r="DU43" i="2"/>
  <c r="DT43" i="2"/>
  <c r="DS43" i="2"/>
  <c r="DR43" i="2"/>
  <c r="DQ43" i="2"/>
  <c r="DP43" i="2"/>
  <c r="DO43" i="2"/>
  <c r="DN43" i="2"/>
  <c r="DM43" i="2"/>
  <c r="DL43" i="2"/>
  <c r="DJ43" i="2"/>
  <c r="DI43" i="2"/>
  <c r="DH43" i="2"/>
  <c r="DG43" i="2"/>
  <c r="DF43" i="2"/>
  <c r="DE43" i="2"/>
  <c r="DD43" i="2"/>
  <c r="DA43" i="2"/>
  <c r="CL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L43" i="2"/>
  <c r="BK43" i="2"/>
  <c r="BJ43" i="2"/>
  <c r="BI43" i="2"/>
  <c r="BH43" i="2"/>
  <c r="BG43" i="2"/>
  <c r="BF43" i="2"/>
  <c r="BC43" i="2"/>
  <c r="AN43" i="2"/>
  <c r="AD43" i="2"/>
  <c r="O43" i="2"/>
  <c r="DZ42" i="2"/>
  <c r="DX42" i="2"/>
  <c r="DW42" i="2"/>
  <c r="DU42" i="2"/>
  <c r="DT42" i="2"/>
  <c r="DS42" i="2"/>
  <c r="DR42" i="2"/>
  <c r="DQ42" i="2"/>
  <c r="DP42" i="2"/>
  <c r="DO42" i="2"/>
  <c r="DN42" i="2"/>
  <c r="DM42" i="2"/>
  <c r="DL42" i="2"/>
  <c r="DJ42" i="2"/>
  <c r="DI42" i="2"/>
  <c r="DH42" i="2"/>
  <c r="DG42" i="2"/>
  <c r="DF42" i="2"/>
  <c r="DE42" i="2"/>
  <c r="DD42" i="2"/>
  <c r="CW42" i="2"/>
  <c r="CL42" i="2"/>
  <c r="CB42" i="2"/>
  <c r="BZ42" i="2"/>
  <c r="BY42" i="2"/>
  <c r="BW42" i="2"/>
  <c r="BV42" i="2"/>
  <c r="BU42" i="2"/>
  <c r="BT42" i="2"/>
  <c r="BS42" i="2"/>
  <c r="BR42" i="2"/>
  <c r="BP42" i="2"/>
  <c r="BO42" i="2"/>
  <c r="BN42" i="2"/>
  <c r="BL42" i="2"/>
  <c r="BK42" i="2"/>
  <c r="BJ42" i="2"/>
  <c r="BI42" i="2"/>
  <c r="BH42" i="2"/>
  <c r="BG42" i="2"/>
  <c r="BF42" i="2"/>
  <c r="AY42" i="2"/>
  <c r="AR42" i="2"/>
  <c r="AN42" i="2"/>
  <c r="Z42" i="2"/>
  <c r="O42" i="2"/>
  <c r="DZ41" i="2"/>
  <c r="DX41" i="2"/>
  <c r="DW41" i="2"/>
  <c r="DV41" i="2"/>
  <c r="DU41" i="2"/>
  <c r="DT41" i="2"/>
  <c r="DS41" i="2"/>
  <c r="DR41" i="2"/>
  <c r="DQ41" i="2"/>
  <c r="DP41" i="2"/>
  <c r="DO41" i="2"/>
  <c r="DN41" i="2"/>
  <c r="DM41" i="2"/>
  <c r="DL41" i="2"/>
  <c r="DJ41" i="2"/>
  <c r="DI41" i="2"/>
  <c r="DH41" i="2"/>
  <c r="DG41" i="2"/>
  <c r="DF41" i="2"/>
  <c r="DE41" i="2"/>
  <c r="DD41" i="2"/>
  <c r="CL41" i="2"/>
  <c r="CD41" i="2"/>
  <c r="EJ41" i="2" s="1"/>
  <c r="CB41" i="2"/>
  <c r="BZ41" i="2"/>
  <c r="BY41" i="2"/>
  <c r="BX41" i="2"/>
  <c r="BW41" i="2"/>
  <c r="BV41" i="2"/>
  <c r="BU41" i="2"/>
  <c r="BT41" i="2"/>
  <c r="BS41" i="2"/>
  <c r="BR41" i="2"/>
  <c r="BQ41" i="2"/>
  <c r="BP41" i="2"/>
  <c r="BO41" i="2"/>
  <c r="BN41" i="2"/>
  <c r="BL41" i="2"/>
  <c r="BK41" i="2"/>
  <c r="BJ41" i="2"/>
  <c r="BI41" i="2"/>
  <c r="BH41" i="2"/>
  <c r="BG41" i="2"/>
  <c r="BF41" i="2"/>
  <c r="AN41" i="2"/>
  <c r="O41" i="2"/>
  <c r="DK41" i="2" s="1"/>
  <c r="CY40" i="2"/>
  <c r="CX40" i="2"/>
  <c r="CW40" i="2"/>
  <c r="CS40" i="2"/>
  <c r="CR40" i="2"/>
  <c r="CQ40" i="2"/>
  <c r="CP40" i="2"/>
  <c r="CO40" i="2"/>
  <c r="CM40" i="2"/>
  <c r="CJ40" i="2"/>
  <c r="CI40" i="2"/>
  <c r="CE40" i="2"/>
  <c r="BA40" i="2"/>
  <c r="AZ40" i="2"/>
  <c r="AY40" i="2"/>
  <c r="AU40" i="2"/>
  <c r="AT40" i="2"/>
  <c r="AS40" i="2"/>
  <c r="AR40" i="2"/>
  <c r="AL40" i="2"/>
  <c r="AK40" i="2"/>
  <c r="AG40" i="2"/>
  <c r="AC40" i="2"/>
  <c r="AB40" i="2"/>
  <c r="AA40" i="2"/>
  <c r="Z40" i="2"/>
  <c r="Y40" i="2"/>
  <c r="W40" i="2"/>
  <c r="V40" i="2"/>
  <c r="T40" i="2"/>
  <c r="S40" i="2"/>
  <c r="R40" i="2"/>
  <c r="Q40" i="2"/>
  <c r="O40" i="2"/>
  <c r="N40" i="2"/>
  <c r="M40" i="2"/>
  <c r="L40" i="2"/>
  <c r="K40" i="2"/>
  <c r="J40" i="2"/>
  <c r="H40" i="2"/>
  <c r="DZ39" i="2"/>
  <c r="DX39" i="2"/>
  <c r="DW39" i="2"/>
  <c r="DV39" i="2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DE39" i="2"/>
  <c r="DD39" i="2"/>
  <c r="CU39" i="2"/>
  <c r="DT39" i="2" s="1"/>
  <c r="CB39" i="2"/>
  <c r="BZ39" i="2"/>
  <c r="BY39" i="2"/>
  <c r="BX39" i="2"/>
  <c r="BW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AW39" i="2"/>
  <c r="BV39" i="2" s="1"/>
  <c r="AF39" i="2"/>
  <c r="G39" i="2"/>
  <c r="EB39" i="2" s="1"/>
  <c r="DZ38" i="2"/>
  <c r="DX38" i="2"/>
  <c r="DW38" i="2"/>
  <c r="DV38" i="2"/>
  <c r="DU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F38" i="2"/>
  <c r="DE38" i="2"/>
  <c r="DD38" i="2"/>
  <c r="CU38" i="2"/>
  <c r="CB38" i="2"/>
  <c r="BZ38" i="2"/>
  <c r="BY38" i="2"/>
  <c r="BX38" i="2"/>
  <c r="BW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AW38" i="2"/>
  <c r="AF38" i="2" s="1"/>
  <c r="G38" i="2"/>
  <c r="EB38" i="2" s="1"/>
  <c r="DZ37" i="2"/>
  <c r="DX37" i="2"/>
  <c r="DW37" i="2"/>
  <c r="DV37" i="2"/>
  <c r="DU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F37" i="2"/>
  <c r="DE37" i="2"/>
  <c r="DD37" i="2"/>
  <c r="CU37" i="2"/>
  <c r="CB37" i="2"/>
  <c r="BZ37" i="2"/>
  <c r="BY37" i="2"/>
  <c r="BX37" i="2"/>
  <c r="BW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AW37" i="2"/>
  <c r="AF37" i="2" s="1"/>
  <c r="G37" i="2"/>
  <c r="EB37" i="2" s="1"/>
  <c r="DX36" i="2"/>
  <c r="DW36" i="2"/>
  <c r="DV36" i="2"/>
  <c r="DU36" i="2"/>
  <c r="DT36" i="2"/>
  <c r="DR36" i="2"/>
  <c r="DP36" i="2"/>
  <c r="DO36" i="2"/>
  <c r="DO148" i="2" s="1"/>
  <c r="DN36" i="2"/>
  <c r="DM36" i="2"/>
  <c r="DI36" i="2"/>
  <c r="DH36" i="2"/>
  <c r="DG36" i="2"/>
  <c r="DF36" i="2"/>
  <c r="DF148" i="2" s="1"/>
  <c r="DE36" i="2"/>
  <c r="DD36" i="2"/>
  <c r="DA36" i="2"/>
  <c r="CT36" i="2"/>
  <c r="CT148" i="2" s="1"/>
  <c r="CL36" i="2"/>
  <c r="CK36" i="2"/>
  <c r="CK40" i="2" s="1"/>
  <c r="BZ36" i="2"/>
  <c r="BY36" i="2"/>
  <c r="BX36" i="2"/>
  <c r="BW36" i="2"/>
  <c r="BV36" i="2"/>
  <c r="BT36" i="2"/>
  <c r="BS36" i="2"/>
  <c r="BR36" i="2"/>
  <c r="BQ36" i="2"/>
  <c r="BO36" i="2"/>
  <c r="BK36" i="2"/>
  <c r="BJ36" i="2"/>
  <c r="BI36" i="2"/>
  <c r="BH36" i="2"/>
  <c r="BG36" i="2"/>
  <c r="BF36" i="2"/>
  <c r="BC36" i="2"/>
  <c r="AV36" i="2"/>
  <c r="AQ36" i="2"/>
  <c r="AQ148" i="2" s="1"/>
  <c r="AO36" i="2"/>
  <c r="AO40" i="2" s="1"/>
  <c r="AN36" i="2"/>
  <c r="AN148" i="2" s="1"/>
  <c r="AM36" i="2"/>
  <c r="AD36" i="2"/>
  <c r="U36" i="2"/>
  <c r="U148" i="2" s="1"/>
  <c r="P36" i="2"/>
  <c r="DX35" i="2"/>
  <c r="DW35" i="2"/>
  <c r="DV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D35" i="2"/>
  <c r="DA35" i="2"/>
  <c r="CV35" i="2"/>
  <c r="CU35" i="2"/>
  <c r="DT35" i="2" s="1"/>
  <c r="CF35" i="2"/>
  <c r="BZ35" i="2"/>
  <c r="BY35" i="2"/>
  <c r="BX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F35" i="2"/>
  <c r="BC35" i="2"/>
  <c r="AX35" i="2"/>
  <c r="AW35" i="2"/>
  <c r="BV35" i="2" s="1"/>
  <c r="AH35" i="2"/>
  <c r="AD35" i="2"/>
  <c r="Y35" i="2"/>
  <c r="I35" i="2"/>
  <c r="DZ34" i="2"/>
  <c r="DX34" i="2"/>
  <c r="DW34" i="2"/>
  <c r="DV34" i="2"/>
  <c r="DT34" i="2"/>
  <c r="DS34" i="2"/>
  <c r="DR34" i="2"/>
  <c r="DQ34" i="2"/>
  <c r="DP34" i="2"/>
  <c r="DO34" i="2"/>
  <c r="DN34" i="2"/>
  <c r="DM34" i="2"/>
  <c r="DL34" i="2"/>
  <c r="DK34" i="2"/>
  <c r="DJ34" i="2"/>
  <c r="DI34" i="2"/>
  <c r="DH34" i="2"/>
  <c r="DG34" i="2"/>
  <c r="DF34" i="2"/>
  <c r="DD34" i="2"/>
  <c r="CF34" i="2"/>
  <c r="CD34" i="2" s="1"/>
  <c r="CB34" i="2"/>
  <c r="BZ34" i="2"/>
  <c r="BY34" i="2"/>
  <c r="BX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F34" i="2"/>
  <c r="AH34" i="2"/>
  <c r="AF34" i="2"/>
  <c r="Y34" i="2"/>
  <c r="DU34" i="2" s="1"/>
  <c r="I34" i="2"/>
  <c r="DX33" i="2"/>
  <c r="DW33" i="2"/>
  <c r="DV33" i="2"/>
  <c r="DU33" i="2"/>
  <c r="DT33" i="2"/>
  <c r="DS33" i="2"/>
  <c r="DR33" i="2"/>
  <c r="DQ33" i="2"/>
  <c r="DP33" i="2"/>
  <c r="DO33" i="2"/>
  <c r="DN33" i="2"/>
  <c r="DM33" i="2"/>
  <c r="DL33" i="2"/>
  <c r="DK33" i="2"/>
  <c r="DJ33" i="2"/>
  <c r="DI33" i="2"/>
  <c r="DH33" i="2"/>
  <c r="DG33" i="2"/>
  <c r="DF33" i="2"/>
  <c r="DD33" i="2"/>
  <c r="DA33" i="2"/>
  <c r="CF33" i="2"/>
  <c r="DE33" i="2" s="1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F33" i="2"/>
  <c r="BC33" i="2"/>
  <c r="AH33" i="2"/>
  <c r="BG33" i="2" s="1"/>
  <c r="AD33" i="2"/>
  <c r="DZ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CD32" i="2"/>
  <c r="CB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F32" i="2"/>
  <c r="AH32" i="2"/>
  <c r="BG32" i="2" s="1"/>
  <c r="AF32" i="2"/>
  <c r="G32" i="2"/>
  <c r="EB32" i="2" s="1"/>
  <c r="DZ31" i="2"/>
  <c r="DX31" i="2"/>
  <c r="DW31" i="2"/>
  <c r="DV31" i="2"/>
  <c r="DU31" i="2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D31" i="2"/>
  <c r="CU31" i="2"/>
  <c r="DT31" i="2" s="1"/>
  <c r="CF31" i="2"/>
  <c r="DE31" i="2" s="1"/>
  <c r="CD31" i="2"/>
  <c r="CB31" i="2"/>
  <c r="BZ31" i="2"/>
  <c r="BY31" i="2"/>
  <c r="BX31" i="2"/>
  <c r="BW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F31" i="2"/>
  <c r="BD31" i="2"/>
  <c r="AW31" i="2"/>
  <c r="BV31" i="2" s="1"/>
  <c r="AH31" i="2"/>
  <c r="AF31" i="2" s="1"/>
  <c r="G31" i="2"/>
  <c r="EB31" i="2" s="1"/>
  <c r="DZ30" i="2"/>
  <c r="DX30" i="2"/>
  <c r="DW30" i="2"/>
  <c r="DV30" i="2"/>
  <c r="DU30" i="2"/>
  <c r="DT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CD30" i="2"/>
  <c r="CB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AF30" i="2"/>
  <c r="G30" i="2"/>
  <c r="EB30" i="2" s="1"/>
  <c r="DX29" i="2"/>
  <c r="DW29" i="2"/>
  <c r="DV29" i="2"/>
  <c r="DU29" i="2"/>
  <c r="DT29" i="2"/>
  <c r="DS29" i="2"/>
  <c r="DR29" i="2"/>
  <c r="DQ29" i="2"/>
  <c r="DP29" i="2"/>
  <c r="DO29" i="2"/>
  <c r="DN29" i="2"/>
  <c r="DM29" i="2"/>
  <c r="DL29" i="2"/>
  <c r="DK29" i="2"/>
  <c r="DJ29" i="2"/>
  <c r="DI29" i="2"/>
  <c r="DH29" i="2"/>
  <c r="DG29" i="2"/>
  <c r="DF29" i="2"/>
  <c r="DD29" i="2"/>
  <c r="DA29" i="2"/>
  <c r="CF29" i="2"/>
  <c r="CD29" i="2" s="1"/>
  <c r="BZ29" i="2"/>
  <c r="BY29" i="2"/>
  <c r="BX29" i="2"/>
  <c r="BW29" i="2"/>
  <c r="BV29" i="2"/>
  <c r="BU29" i="2"/>
  <c r="BT29" i="2"/>
  <c r="BS29" i="2"/>
  <c r="BR29" i="2"/>
  <c r="BQ29" i="2"/>
  <c r="BP29" i="2"/>
  <c r="BO29" i="2"/>
  <c r="BN29" i="2"/>
  <c r="BM29" i="2"/>
  <c r="BL29" i="2"/>
  <c r="BK29" i="2"/>
  <c r="BJ29" i="2"/>
  <c r="BI29" i="2"/>
  <c r="BH29" i="2"/>
  <c r="BF29" i="2"/>
  <c r="BC29" i="2"/>
  <c r="CB29" i="2" s="1"/>
  <c r="AH29" i="2"/>
  <c r="AF29" i="2" s="1"/>
  <c r="AD29" i="2"/>
  <c r="DZ29" i="2" s="1"/>
  <c r="I29" i="2"/>
  <c r="DX28" i="2"/>
  <c r="DW28" i="2"/>
  <c r="DV28" i="2"/>
  <c r="DU28" i="2"/>
  <c r="DT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CD28" i="2"/>
  <c r="CC28" i="2" s="1"/>
  <c r="DB28" i="2" s="1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AF28" i="2"/>
  <c r="AD28" i="2"/>
  <c r="G28" i="2" s="1"/>
  <c r="EB28" i="2" s="1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D27" i="2"/>
  <c r="CF27" i="2"/>
  <c r="DE27" i="2" s="1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F27" i="2"/>
  <c r="BC27" i="2"/>
  <c r="AH27" i="2"/>
  <c r="AF27" i="2"/>
  <c r="AD27" i="2"/>
  <c r="CB27" i="2" s="1"/>
  <c r="I27" i="2"/>
  <c r="DZ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D26" i="2"/>
  <c r="CG26" i="2"/>
  <c r="DF26" i="2" s="1"/>
  <c r="CF26" i="2"/>
  <c r="DE26" i="2" s="1"/>
  <c r="CB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F26" i="2"/>
  <c r="AI26" i="2"/>
  <c r="BH26" i="2" s="1"/>
  <c r="AH26" i="2"/>
  <c r="AF26" i="2" s="1"/>
  <c r="G26" i="2"/>
  <c r="EB26" i="2" s="1"/>
  <c r="DZ25" i="2"/>
  <c r="DX25" i="2"/>
  <c r="DW25" i="2"/>
  <c r="DV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D25" i="2"/>
  <c r="CF25" i="2"/>
  <c r="CB25" i="2"/>
  <c r="BZ25" i="2"/>
  <c r="BY25" i="2"/>
  <c r="BX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F25" i="2"/>
  <c r="AH25" i="2"/>
  <c r="BG25" i="2" s="1"/>
  <c r="G25" i="2"/>
  <c r="EB25" i="2" s="1"/>
  <c r="DZ24" i="2"/>
  <c r="DX24" i="2"/>
  <c r="DW24" i="2"/>
  <c r="DV24" i="2"/>
  <c r="DU24" i="2"/>
  <c r="DT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E24" i="2"/>
  <c r="DD24" i="2"/>
  <c r="CG24" i="2"/>
  <c r="DF24" i="2" s="1"/>
  <c r="CF24" i="2"/>
  <c r="CB24" i="2"/>
  <c r="BZ24" i="2"/>
  <c r="BY24" i="2"/>
  <c r="BX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F24" i="2"/>
  <c r="AI24" i="2"/>
  <c r="BH24" i="2" s="1"/>
  <c r="AH24" i="2"/>
  <c r="BG24" i="2" s="1"/>
  <c r="G24" i="2"/>
  <c r="EB24" i="2" s="1"/>
  <c r="DZ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D23" i="2"/>
  <c r="CG23" i="2"/>
  <c r="DF23" i="2" s="1"/>
  <c r="CF23" i="2"/>
  <c r="DE23" i="2" s="1"/>
  <c r="CB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F23" i="2"/>
  <c r="AI23" i="2"/>
  <c r="BH23" i="2" s="1"/>
  <c r="AH23" i="2"/>
  <c r="BG23" i="2" s="1"/>
  <c r="G23" i="2"/>
  <c r="EB23" i="2" s="1"/>
  <c r="DZ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D22" i="2"/>
  <c r="CG22" i="2"/>
  <c r="DF22" i="2" s="1"/>
  <c r="CF22" i="2"/>
  <c r="DE22" i="2" s="1"/>
  <c r="CB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F22" i="2"/>
  <c r="AI22" i="2"/>
  <c r="AH22" i="2"/>
  <c r="BG22" i="2" s="1"/>
  <c r="G22" i="2"/>
  <c r="EB22" i="2" s="1"/>
  <c r="DZ21" i="2"/>
  <c r="DX21" i="2"/>
  <c r="DW21" i="2"/>
  <c r="DV21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CU21" i="2"/>
  <c r="BZ21" i="2"/>
  <c r="BY21" i="2"/>
  <c r="BX21" i="2"/>
  <c r="BW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C21" i="2"/>
  <c r="CB21" i="2" s="1"/>
  <c r="AW21" i="2"/>
  <c r="G21" i="2"/>
  <c r="EB21" i="2" s="1"/>
  <c r="DZ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CD20" i="2"/>
  <c r="CB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AF20" i="2"/>
  <c r="G20" i="2"/>
  <c r="EB20" i="2" s="1"/>
  <c r="DZ19" i="2"/>
  <c r="DX19" i="2"/>
  <c r="DW19" i="2"/>
  <c r="DV19" i="2"/>
  <c r="DU19" i="2"/>
  <c r="DS19" i="2"/>
  <c r="DR19" i="2"/>
  <c r="DQ19" i="2"/>
  <c r="DP19" i="2"/>
  <c r="DO19" i="2"/>
  <c r="DN19" i="2"/>
  <c r="DM19" i="2"/>
  <c r="DL19" i="2"/>
  <c r="DK19" i="2"/>
  <c r="DJ19" i="2"/>
  <c r="DI19" i="2"/>
  <c r="DH19" i="2"/>
  <c r="DG19" i="2"/>
  <c r="DF19" i="2"/>
  <c r="DE19" i="2"/>
  <c r="DD19" i="2"/>
  <c r="CU19" i="2"/>
  <c r="CD19" i="2" s="1"/>
  <c r="CC19" i="2" s="1"/>
  <c r="DB19" i="2" s="1"/>
  <c r="CB19" i="2"/>
  <c r="BZ19" i="2"/>
  <c r="BY19" i="2"/>
  <c r="BX19" i="2"/>
  <c r="BW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AW19" i="2"/>
  <c r="G19" i="2"/>
  <c r="EB19" i="2" s="1"/>
  <c r="DX18" i="2"/>
  <c r="DW18" i="2"/>
  <c r="DV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D18" i="2"/>
  <c r="DA18" i="2"/>
  <c r="CV18" i="2"/>
  <c r="BZ18" i="2"/>
  <c r="BY18" i="2"/>
  <c r="BX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F18" i="2"/>
  <c r="BC18" i="2"/>
  <c r="BC150" i="2" s="1"/>
  <c r="AX18" i="2"/>
  <c r="AX150" i="2" s="1"/>
  <c r="AH18" i="2"/>
  <c r="BG18" i="2" s="1"/>
  <c r="AD18" i="2"/>
  <c r="G18" i="2"/>
  <c r="EB18" i="2" s="1"/>
  <c r="DG17" i="2"/>
  <c r="DC17" i="2" s="1"/>
  <c r="CD17" i="2"/>
  <c r="BD17" i="2"/>
  <c r="AJ17" i="2"/>
  <c r="AF17" i="2" s="1"/>
  <c r="G17" i="2"/>
  <c r="EB17" i="2" s="1"/>
  <c r="DZ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D16" i="2"/>
  <c r="CF16" i="2"/>
  <c r="CD16" i="2" s="1"/>
  <c r="CB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F16" i="2"/>
  <c r="AH16" i="2"/>
  <c r="BG16" i="2" s="1"/>
  <c r="AF16" i="2"/>
  <c r="G16" i="2"/>
  <c r="EB16" i="2" s="1"/>
  <c r="CH15" i="2"/>
  <c r="CD15" i="2" s="1"/>
  <c r="BI15" i="2"/>
  <c r="BE15" i="2" s="1"/>
  <c r="AJ15" i="2"/>
  <c r="AF15" i="2"/>
  <c r="G15" i="2"/>
  <c r="DZ14" i="2"/>
  <c r="DX14" i="2"/>
  <c r="DW14" i="2"/>
  <c r="DV14" i="2"/>
  <c r="DU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CD14" i="2"/>
  <c r="CB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AF14" i="2"/>
  <c r="X14" i="2"/>
  <c r="DZ13" i="2"/>
  <c r="DX13" i="2"/>
  <c r="DW13" i="2"/>
  <c r="DV13" i="2"/>
  <c r="DU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G13" i="2"/>
  <c r="DF13" i="2"/>
  <c r="DE13" i="2"/>
  <c r="DD13" i="2"/>
  <c r="CU13" i="2"/>
  <c r="DT13" i="2" s="1"/>
  <c r="CB13" i="2"/>
  <c r="BZ13" i="2"/>
  <c r="BY13" i="2"/>
  <c r="BX13" i="2"/>
  <c r="BW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AW13" i="2"/>
  <c r="G13" i="2"/>
  <c r="EB13" i="2" s="1"/>
  <c r="DZ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CZ12" i="2"/>
  <c r="DY12" i="2" s="1"/>
  <c r="CB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B12" i="2"/>
  <c r="BB152" i="2" s="1"/>
  <c r="G12" i="2"/>
  <c r="EB12" i="2" s="1"/>
  <c r="DY11" i="2"/>
  <c r="DX11" i="2"/>
  <c r="DW11" i="2"/>
  <c r="DV11" i="2"/>
  <c r="DU11" i="2"/>
  <c r="DS11" i="2"/>
  <c r="DR11" i="2"/>
  <c r="DQ11" i="2"/>
  <c r="DP11" i="2"/>
  <c r="DO11" i="2"/>
  <c r="DN11" i="2"/>
  <c r="DL11" i="2"/>
  <c r="DK11" i="2"/>
  <c r="DJ11" i="2"/>
  <c r="DI11" i="2"/>
  <c r="DH11" i="2"/>
  <c r="DG11" i="2"/>
  <c r="DF11" i="2"/>
  <c r="DE11" i="2"/>
  <c r="DD11" i="2"/>
  <c r="DA11" i="2"/>
  <c r="CU11" i="2"/>
  <c r="DT11" i="2" s="1"/>
  <c r="CN11" i="2"/>
  <c r="CA11" i="2"/>
  <c r="BZ11" i="2"/>
  <c r="BY11" i="2"/>
  <c r="BX11" i="2"/>
  <c r="BW11" i="2"/>
  <c r="BU11" i="2"/>
  <c r="BT11" i="2"/>
  <c r="BS11" i="2"/>
  <c r="BR11" i="2"/>
  <c r="BQ11" i="2"/>
  <c r="BP11" i="2"/>
  <c r="BN11" i="2"/>
  <c r="BM11" i="2"/>
  <c r="BL11" i="2"/>
  <c r="BK11" i="2"/>
  <c r="BJ11" i="2"/>
  <c r="BI11" i="2"/>
  <c r="BH11" i="2"/>
  <c r="BG11" i="2"/>
  <c r="BF11" i="2"/>
  <c r="BC11" i="2"/>
  <c r="AW11" i="2"/>
  <c r="BV11" i="2" s="1"/>
  <c r="AP11" i="2"/>
  <c r="AP152" i="2" s="1"/>
  <c r="AD11" i="2"/>
  <c r="G11" i="2" s="1"/>
  <c r="EB11" i="2" s="1"/>
  <c r="DZ10" i="2"/>
  <c r="DX10" i="2"/>
  <c r="DW10" i="2"/>
  <c r="DV10" i="2"/>
  <c r="DU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CU10" i="2"/>
  <c r="CD10" i="2" s="1"/>
  <c r="BW10" i="2"/>
  <c r="AW10" i="2"/>
  <c r="AF10" i="2" s="1"/>
  <c r="G10" i="2"/>
  <c r="EB10" i="2" s="1"/>
  <c r="DZ9" i="2"/>
  <c r="DX9" i="2"/>
  <c r="DW9" i="2"/>
  <c r="DV9" i="2"/>
  <c r="DU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E9" i="2"/>
  <c r="DD9" i="2"/>
  <c r="CU9" i="2"/>
  <c r="CD9" i="2" s="1"/>
  <c r="CB9" i="2"/>
  <c r="BZ9" i="2"/>
  <c r="BY9" i="2"/>
  <c r="BX9" i="2"/>
  <c r="BW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BG9" i="2"/>
  <c r="BF9" i="2"/>
  <c r="AW9" i="2"/>
  <c r="AF9" i="2" s="1"/>
  <c r="G9" i="2"/>
  <c r="EB9" i="2" s="1"/>
  <c r="DZ8" i="2"/>
  <c r="DX8" i="2"/>
  <c r="DW8" i="2"/>
  <c r="DV8" i="2"/>
  <c r="DU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CU8" i="2"/>
  <c r="DT8" i="2" s="1"/>
  <c r="CB8" i="2"/>
  <c r="BZ8" i="2"/>
  <c r="BY8" i="2"/>
  <c r="BX8" i="2"/>
  <c r="BW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BG8" i="2"/>
  <c r="BF8" i="2"/>
  <c r="AW8" i="2"/>
  <c r="BV8" i="2" s="1"/>
  <c r="AF8" i="2"/>
  <c r="G8" i="2"/>
  <c r="EB8" i="2" s="1"/>
  <c r="EB7" i="2"/>
  <c r="DZ7" i="2"/>
  <c r="DX7" i="2"/>
  <c r="DW7" i="2"/>
  <c r="DV7" i="2"/>
  <c r="DU7" i="2"/>
  <c r="DS7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CU7" i="2"/>
  <c r="CB7" i="2"/>
  <c r="BZ7" i="2"/>
  <c r="BY7" i="2"/>
  <c r="BX7" i="2"/>
  <c r="BW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G7" i="2"/>
  <c r="BF7" i="2"/>
  <c r="AW7" i="2"/>
  <c r="G7" i="2"/>
  <c r="DZ6" i="2"/>
  <c r="DX6" i="2"/>
  <c r="DW6" i="2"/>
  <c r="DV6" i="2"/>
  <c r="DU6" i="2"/>
  <c r="DS6" i="2"/>
  <c r="DR6" i="2"/>
  <c r="DQ6" i="2"/>
  <c r="DP6" i="2"/>
  <c r="DO6" i="2"/>
  <c r="DN6" i="2"/>
  <c r="DM6" i="2"/>
  <c r="DL6" i="2"/>
  <c r="DK6" i="2"/>
  <c r="DJ6" i="2"/>
  <c r="DI6" i="2"/>
  <c r="DH6" i="2"/>
  <c r="DG6" i="2"/>
  <c r="DF6" i="2"/>
  <c r="DE6" i="2"/>
  <c r="DD6" i="2"/>
  <c r="CU6" i="2"/>
  <c r="DT6" i="2" s="1"/>
  <c r="CD6" i="2"/>
  <c r="CB6" i="2"/>
  <c r="BZ6" i="2"/>
  <c r="BY6" i="2"/>
  <c r="BX6" i="2"/>
  <c r="BW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G6" i="2"/>
  <c r="BF6" i="2"/>
  <c r="AW6" i="2"/>
  <c r="BV6" i="2" s="1"/>
  <c r="G6" i="2"/>
  <c r="EB6" i="2" s="1"/>
  <c r="DX5" i="2"/>
  <c r="DW5" i="2"/>
  <c r="DV5" i="2"/>
  <c r="DU5" i="2"/>
  <c r="DS5" i="2"/>
  <c r="DR5" i="2"/>
  <c r="DQ5" i="2"/>
  <c r="DP5" i="2"/>
  <c r="DO5" i="2"/>
  <c r="DN5" i="2"/>
  <c r="DM5" i="2"/>
  <c r="DL5" i="2"/>
  <c r="DK5" i="2"/>
  <c r="DJ5" i="2"/>
  <c r="DI5" i="2"/>
  <c r="DH5" i="2"/>
  <c r="DG5" i="2"/>
  <c r="DF5" i="2"/>
  <c r="DE5" i="2"/>
  <c r="DD5" i="2"/>
  <c r="DA5" i="2"/>
  <c r="DZ5" i="2" s="1"/>
  <c r="CU5" i="2"/>
  <c r="BZ5" i="2"/>
  <c r="BY5" i="2"/>
  <c r="BX5" i="2"/>
  <c r="BW5" i="2"/>
  <c r="BU5" i="2"/>
  <c r="BT5" i="2"/>
  <c r="BS5" i="2"/>
  <c r="BR5" i="2"/>
  <c r="BQ5" i="2"/>
  <c r="BP5" i="2"/>
  <c r="BO5" i="2"/>
  <c r="BN5" i="2"/>
  <c r="BM5" i="2"/>
  <c r="BL5" i="2"/>
  <c r="BK5" i="2"/>
  <c r="BJ5" i="2"/>
  <c r="BH5" i="2"/>
  <c r="BG5" i="2"/>
  <c r="BF5" i="2"/>
  <c r="BC5" i="2"/>
  <c r="AW5" i="2"/>
  <c r="AD5" i="2"/>
  <c r="G5" i="2" s="1"/>
  <c r="DY152" i="1"/>
  <c r="DF152" i="1"/>
  <c r="CZ152" i="1"/>
  <c r="CY152" i="1"/>
  <c r="CX152" i="1"/>
  <c r="CS152" i="1"/>
  <c r="CR152" i="1"/>
  <c r="CQ152" i="1"/>
  <c r="CP152" i="1"/>
  <c r="CO152" i="1"/>
  <c r="CN152" i="1"/>
  <c r="CM152" i="1"/>
  <c r="CL152" i="1"/>
  <c r="CK152" i="1"/>
  <c r="CJ152" i="1"/>
  <c r="CI152" i="1"/>
  <c r="CH152" i="1"/>
  <c r="CG152" i="1"/>
  <c r="CE152" i="1"/>
  <c r="CA152" i="1"/>
  <c r="BB152" i="1"/>
  <c r="BA152" i="1"/>
  <c r="AZ152" i="1"/>
  <c r="AU152" i="1"/>
  <c r="AT152" i="1"/>
  <c r="AS152" i="1"/>
  <c r="AR152" i="1"/>
  <c r="AQ152" i="1"/>
  <c r="AP152" i="1"/>
  <c r="AO152" i="1"/>
  <c r="AN152" i="1"/>
  <c r="AM152" i="1"/>
  <c r="AL152" i="1"/>
  <c r="AK152" i="1"/>
  <c r="AI152" i="1"/>
  <c r="AG152" i="1"/>
  <c r="AC152" i="1"/>
  <c r="AA152" i="1"/>
  <c r="Y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H152" i="1"/>
  <c r="CY151" i="1"/>
  <c r="CX151" i="1"/>
  <c r="CW151" i="1"/>
  <c r="CT151" i="1"/>
  <c r="CS151" i="1"/>
  <c r="CR151" i="1"/>
  <c r="CQ151" i="1"/>
  <c r="CP151" i="1"/>
  <c r="CO151" i="1"/>
  <c r="CM151" i="1"/>
  <c r="CL151" i="1"/>
  <c r="CK151" i="1"/>
  <c r="CJ151" i="1"/>
  <c r="CI151" i="1"/>
  <c r="CH151" i="1"/>
  <c r="CE151" i="1"/>
  <c r="BA151" i="1"/>
  <c r="AZ151" i="1"/>
  <c r="AY151" i="1"/>
  <c r="AV151" i="1"/>
  <c r="AU151" i="1"/>
  <c r="AT151" i="1"/>
  <c r="AS151" i="1"/>
  <c r="AR151" i="1"/>
  <c r="AQ151" i="1"/>
  <c r="AO151" i="1"/>
  <c r="AN151" i="1"/>
  <c r="AM151" i="1"/>
  <c r="AL151" i="1"/>
  <c r="AK151" i="1"/>
  <c r="AJ151" i="1"/>
  <c r="AG151" i="1"/>
  <c r="AC151" i="1"/>
  <c r="AA151" i="1"/>
  <c r="Z151" i="1"/>
  <c r="W151" i="1"/>
  <c r="V151" i="1"/>
  <c r="U151" i="1"/>
  <c r="T151" i="1"/>
  <c r="S151" i="1"/>
  <c r="R151" i="1"/>
  <c r="Q151" i="1"/>
  <c r="P151" i="1"/>
  <c r="O151" i="1"/>
  <c r="N151" i="1"/>
  <c r="M151" i="1"/>
  <c r="L151" i="1"/>
  <c r="K151" i="1"/>
  <c r="J151" i="1"/>
  <c r="H151" i="1"/>
  <c r="DY150" i="1"/>
  <c r="CZ150" i="1"/>
  <c r="CX150" i="1"/>
  <c r="CK150" i="1"/>
  <c r="CJ150" i="1"/>
  <c r="CI150" i="1"/>
  <c r="CH150" i="1"/>
  <c r="CG150" i="1"/>
  <c r="CF150" i="1"/>
  <c r="CE150" i="1"/>
  <c r="CA150" i="1"/>
  <c r="BB150" i="1"/>
  <c r="AZ150" i="1"/>
  <c r="AM150" i="1"/>
  <c r="AL150" i="1"/>
  <c r="AK150" i="1"/>
  <c r="AJ150" i="1"/>
  <c r="AI150" i="1"/>
  <c r="AH150" i="1"/>
  <c r="AG150" i="1"/>
  <c r="AC150" i="1"/>
  <c r="AA150" i="1"/>
  <c r="Y150" i="1"/>
  <c r="X150" i="1"/>
  <c r="T150" i="1"/>
  <c r="N150" i="1"/>
  <c r="M150" i="1"/>
  <c r="L150" i="1"/>
  <c r="K150" i="1"/>
  <c r="J150" i="1"/>
  <c r="I150" i="1"/>
  <c r="H150" i="1"/>
  <c r="DY149" i="1"/>
  <c r="CZ149" i="1"/>
  <c r="CY149" i="1"/>
  <c r="CX149" i="1"/>
  <c r="CW149" i="1"/>
  <c r="CT149" i="1"/>
  <c r="CS149" i="1"/>
  <c r="CR149" i="1"/>
  <c r="CQ149" i="1"/>
  <c r="CP149" i="1"/>
  <c r="CO149" i="1"/>
  <c r="CN149" i="1"/>
  <c r="CM149" i="1"/>
  <c r="CL149" i="1"/>
  <c r="CK149" i="1"/>
  <c r="CJ149" i="1"/>
  <c r="CI149" i="1"/>
  <c r="CG149" i="1"/>
  <c r="CE149" i="1"/>
  <c r="CA149" i="1"/>
  <c r="BB149" i="1"/>
  <c r="BA149" i="1"/>
  <c r="AZ149" i="1"/>
  <c r="AY149" i="1"/>
  <c r="AV149" i="1"/>
  <c r="AU149" i="1"/>
  <c r="AT149" i="1"/>
  <c r="AS149" i="1"/>
  <c r="AR149" i="1"/>
  <c r="AQ149" i="1"/>
  <c r="AP149" i="1"/>
  <c r="AO149" i="1"/>
  <c r="AN149" i="1"/>
  <c r="AM149" i="1"/>
  <c r="AL149" i="1"/>
  <c r="AK149" i="1"/>
  <c r="AI149" i="1"/>
  <c r="AG149" i="1"/>
  <c r="AC149" i="1"/>
  <c r="AA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H149" i="1"/>
  <c r="DY148" i="1"/>
  <c r="CZ148" i="1"/>
  <c r="CY148" i="1"/>
  <c r="CT148" i="1"/>
  <c r="CS148" i="1"/>
  <c r="CR148" i="1"/>
  <c r="CQ148" i="1"/>
  <c r="CP148" i="1"/>
  <c r="CO148" i="1"/>
  <c r="CN148" i="1"/>
  <c r="CM148" i="1"/>
  <c r="CL148" i="1"/>
  <c r="CK148" i="1"/>
  <c r="CI148" i="1"/>
  <c r="CG148" i="1"/>
  <c r="CA148" i="1"/>
  <c r="BB148" i="1"/>
  <c r="BA148" i="1"/>
  <c r="AV148" i="1"/>
  <c r="AU148" i="1"/>
  <c r="AT148" i="1"/>
  <c r="AS148" i="1"/>
  <c r="AR148" i="1"/>
  <c r="AQ148" i="1"/>
  <c r="AP148" i="1"/>
  <c r="AO148" i="1"/>
  <c r="AN148" i="1"/>
  <c r="AM148" i="1"/>
  <c r="AK148" i="1"/>
  <c r="AI148" i="1"/>
  <c r="AC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CY147" i="1"/>
  <c r="CX147" i="1"/>
  <c r="CR147" i="1"/>
  <c r="CQ147" i="1"/>
  <c r="CP147" i="1"/>
  <c r="CJ147" i="1"/>
  <c r="CI147" i="1"/>
  <c r="CG147" i="1"/>
  <c r="CE147" i="1"/>
  <c r="BA147" i="1"/>
  <c r="AZ147" i="1"/>
  <c r="AS147" i="1"/>
  <c r="AR147" i="1"/>
  <c r="AL147" i="1"/>
  <c r="AK147" i="1"/>
  <c r="AI147" i="1"/>
  <c r="AG147" i="1"/>
  <c r="AA147" i="1"/>
  <c r="Y147" i="1"/>
  <c r="X147" i="1"/>
  <c r="W147" i="1"/>
  <c r="T147" i="1"/>
  <c r="S147" i="1"/>
  <c r="O147" i="1"/>
  <c r="N147" i="1"/>
  <c r="M147" i="1"/>
  <c r="L147" i="1"/>
  <c r="K147" i="1"/>
  <c r="J147" i="1"/>
  <c r="I147" i="1"/>
  <c r="H147" i="1"/>
  <c r="CZ146" i="1"/>
  <c r="CY146" i="1"/>
  <c r="CX146" i="1"/>
  <c r="CW146" i="1"/>
  <c r="CU146" i="1"/>
  <c r="CQ146" i="1"/>
  <c r="CP146" i="1"/>
  <c r="CK146" i="1"/>
  <c r="CJ146" i="1"/>
  <c r="CI146" i="1"/>
  <c r="CI153" i="1" s="1"/>
  <c r="CH146" i="1"/>
  <c r="CG146" i="1"/>
  <c r="CF146" i="1"/>
  <c r="CE146" i="1"/>
  <c r="BH146" i="1"/>
  <c r="BA146" i="1"/>
  <c r="AZ146" i="1"/>
  <c r="AY146" i="1"/>
  <c r="AW146" i="1"/>
  <c r="AS146" i="1"/>
  <c r="AR146" i="1"/>
  <c r="AM146" i="1"/>
  <c r="AL146" i="1"/>
  <c r="AK146" i="1"/>
  <c r="AK153" i="1" s="1"/>
  <c r="AJ146" i="1"/>
  <c r="AI146" i="1"/>
  <c r="AH146" i="1"/>
  <c r="AG146" i="1"/>
  <c r="AD146" i="1"/>
  <c r="AB146" i="1"/>
  <c r="AA146" i="1"/>
  <c r="Z146" i="1"/>
  <c r="X146" i="1"/>
  <c r="W146" i="1"/>
  <c r="U146" i="1"/>
  <c r="S146" i="1"/>
  <c r="N146" i="1"/>
  <c r="M146" i="1"/>
  <c r="M153" i="1" s="1"/>
  <c r="K146" i="1"/>
  <c r="K153" i="1" s="1"/>
  <c r="J146" i="1"/>
  <c r="I146" i="1"/>
  <c r="H146" i="1"/>
  <c r="M144" i="1"/>
  <c r="M154" i="1" s="1"/>
  <c r="CY142" i="1"/>
  <c r="CX142" i="1"/>
  <c r="CQ142" i="1"/>
  <c r="CP142" i="1"/>
  <c r="CO142" i="1"/>
  <c r="CK142" i="1"/>
  <c r="CJ142" i="1"/>
  <c r="CI142" i="1"/>
  <c r="CH142" i="1"/>
  <c r="CG142" i="1"/>
  <c r="CE142" i="1"/>
  <c r="BA142" i="1"/>
  <c r="AZ142" i="1"/>
  <c r="AS142" i="1"/>
  <c r="AR142" i="1"/>
  <c r="AM142" i="1"/>
  <c r="AL142" i="1"/>
  <c r="AK142" i="1"/>
  <c r="AI142" i="1"/>
  <c r="AG142" i="1"/>
  <c r="AB142" i="1"/>
  <c r="AA142" i="1"/>
  <c r="Y142" i="1"/>
  <c r="X142" i="1"/>
  <c r="W142" i="1"/>
  <c r="S142" i="1"/>
  <c r="P142" i="1"/>
  <c r="O142" i="1"/>
  <c r="N142" i="1"/>
  <c r="M142" i="1"/>
  <c r="K142" i="1"/>
  <c r="J142" i="1"/>
  <c r="H142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CF141" i="1"/>
  <c r="CD141" i="1" s="1"/>
  <c r="CC141" i="1" s="1"/>
  <c r="DB141" i="1" s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F141" i="1"/>
  <c r="AH141" i="1"/>
  <c r="AF141" i="1"/>
  <c r="AE141" i="1" s="1"/>
  <c r="BD141" i="1" s="1"/>
  <c r="I141" i="1"/>
  <c r="G141" i="1"/>
  <c r="EB141" i="1" s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D140" i="1"/>
  <c r="DA140" i="1"/>
  <c r="CF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C140" i="1"/>
  <c r="CB140" i="1" s="1"/>
  <c r="AH140" i="1"/>
  <c r="AD140" i="1"/>
  <c r="I140" i="1"/>
  <c r="G140" i="1"/>
  <c r="EB140" i="1" s="1"/>
  <c r="DZ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C139" i="1" s="1"/>
  <c r="ED139" i="1" s="1"/>
  <c r="DD139" i="1"/>
  <c r="DB139" i="1"/>
  <c r="CV139" i="1"/>
  <c r="CD139" i="1"/>
  <c r="CB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AX139" i="1"/>
  <c r="AF139" i="1" s="1"/>
  <c r="G139" i="1"/>
  <c r="EB139" i="1" s="1"/>
  <c r="DZ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CD138" i="1"/>
  <c r="CB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D138" i="1"/>
  <c r="AF138" i="1"/>
  <c r="AE138" i="1"/>
  <c r="G138" i="1"/>
  <c r="EB138" i="1" s="1"/>
  <c r="DZ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CD137" i="1"/>
  <c r="CB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AF137" i="1"/>
  <c r="AE137" i="1" s="1"/>
  <c r="BD137" i="1" s="1"/>
  <c r="G137" i="1"/>
  <c r="EB137" i="1" s="1"/>
  <c r="DZ136" i="1"/>
  <c r="DX136" i="1"/>
  <c r="DW136" i="1"/>
  <c r="DV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CV136" i="1"/>
  <c r="DU136" i="1" s="1"/>
  <c r="CB136" i="1"/>
  <c r="BZ136" i="1"/>
  <c r="BY136" i="1"/>
  <c r="BX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AX136" i="1"/>
  <c r="BW136" i="1" s="1"/>
  <c r="AF136" i="1"/>
  <c r="AE136" i="1"/>
  <c r="BD136" i="1" s="1"/>
  <c r="G136" i="1"/>
  <c r="EB135" i="1"/>
  <c r="DZ135" i="1"/>
  <c r="DX135" i="1"/>
  <c r="DW135" i="1"/>
  <c r="DV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D135" i="1"/>
  <c r="CV135" i="1"/>
  <c r="DU135" i="1" s="1"/>
  <c r="CF135" i="1"/>
  <c r="CB135" i="1"/>
  <c r="BZ135" i="1"/>
  <c r="BY135" i="1"/>
  <c r="BX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AX135" i="1"/>
  <c r="AH135" i="1"/>
  <c r="G135" i="1"/>
  <c r="EB134" i="1"/>
  <c r="DZ134" i="1"/>
  <c r="DX134" i="1"/>
  <c r="DW134" i="1"/>
  <c r="DV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D134" i="1"/>
  <c r="CV134" i="1"/>
  <c r="CF134" i="1"/>
  <c r="DE134" i="1" s="1"/>
  <c r="CB134" i="1"/>
  <c r="BZ134" i="1"/>
  <c r="BY134" i="1"/>
  <c r="BX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F134" i="1"/>
  <c r="AX134" i="1"/>
  <c r="BW134" i="1" s="1"/>
  <c r="AH134" i="1"/>
  <c r="G134" i="1"/>
  <c r="DZ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D133" i="1"/>
  <c r="CV133" i="1"/>
  <c r="CF133" i="1"/>
  <c r="DE133" i="1" s="1"/>
  <c r="CD133" i="1"/>
  <c r="CC133" i="1" s="1"/>
  <c r="DB133" i="1" s="1"/>
  <c r="CB133" i="1"/>
  <c r="BZ133" i="1"/>
  <c r="BY133" i="1"/>
  <c r="BX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F133" i="1"/>
  <c r="AX133" i="1"/>
  <c r="AH133" i="1"/>
  <c r="BG133" i="1" s="1"/>
  <c r="G133" i="1"/>
  <c r="EB133" i="1" s="1"/>
  <c r="EB132" i="1"/>
  <c r="CH132" i="1"/>
  <c r="BI132" i="1"/>
  <c r="BE132" i="1" s="1"/>
  <c r="AJ132" i="1"/>
  <c r="AF132" i="1"/>
  <c r="AE132" i="1"/>
  <c r="BD132" i="1" s="1"/>
  <c r="G132" i="1"/>
  <c r="EB131" i="1"/>
  <c r="CH131" i="1"/>
  <c r="BI131" i="1"/>
  <c r="BE131" i="1" s="1"/>
  <c r="AJ131" i="1"/>
  <c r="AF131" i="1"/>
  <c r="AE131" i="1"/>
  <c r="BD131" i="1" s="1"/>
  <c r="G131" i="1"/>
  <c r="DZ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C130" i="1" s="1"/>
  <c r="DD130" i="1"/>
  <c r="CD130" i="1"/>
  <c r="CB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 s="1"/>
  <c r="AF130" i="1"/>
  <c r="AE130" i="1"/>
  <c r="BD130" i="1" s="1"/>
  <c r="G130" i="1"/>
  <c r="EB130" i="1" s="1"/>
  <c r="DZ129" i="1"/>
  <c r="DX129" i="1"/>
  <c r="DW129" i="1"/>
  <c r="DV129" i="1"/>
  <c r="DU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D129" i="1"/>
  <c r="CW129" i="1"/>
  <c r="CW147" i="1" s="1"/>
  <c r="CU129" i="1"/>
  <c r="DT129" i="1" s="1"/>
  <c r="CF129" i="1"/>
  <c r="DE129" i="1" s="1"/>
  <c r="CB129" i="1"/>
  <c r="BZ129" i="1"/>
  <c r="BY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F129" i="1"/>
  <c r="AY129" i="1"/>
  <c r="AY147" i="1" s="1"/>
  <c r="AX129" i="1"/>
  <c r="BW129" i="1" s="1"/>
  <c r="AW129" i="1"/>
  <c r="BV129" i="1" s="1"/>
  <c r="AH129" i="1"/>
  <c r="Z129" i="1"/>
  <c r="G129" i="1" s="1"/>
  <c r="EB129" i="1" s="1"/>
  <c r="EB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J128" i="1"/>
  <c r="DI128" i="1"/>
  <c r="DH128" i="1"/>
  <c r="DG128" i="1"/>
  <c r="DF128" i="1"/>
  <c r="DE128" i="1"/>
  <c r="DD128" i="1"/>
  <c r="DA128" i="1"/>
  <c r="CL128" i="1"/>
  <c r="DK128" i="1" s="1"/>
  <c r="BZ128" i="1"/>
  <c r="BY128" i="1"/>
  <c r="BX128" i="1"/>
  <c r="BW128" i="1"/>
  <c r="BV128" i="1"/>
  <c r="BU128" i="1"/>
  <c r="BT128" i="1"/>
  <c r="BR128" i="1"/>
  <c r="BQ128" i="1"/>
  <c r="BP128" i="1"/>
  <c r="BO128" i="1"/>
  <c r="BN128" i="1"/>
  <c r="BL128" i="1"/>
  <c r="BK128" i="1"/>
  <c r="BJ128" i="1"/>
  <c r="BI128" i="1"/>
  <c r="BH128" i="1"/>
  <c r="BG128" i="1"/>
  <c r="BF128" i="1"/>
  <c r="BC128" i="1"/>
  <c r="CB128" i="1" s="1"/>
  <c r="AT128" i="1"/>
  <c r="AT147" i="1" s="1"/>
  <c r="AN128" i="1"/>
  <c r="AD128" i="1"/>
  <c r="U128" i="1"/>
  <c r="U142" i="1" s="1"/>
  <c r="G128" i="1"/>
  <c r="DX127" i="1"/>
  <c r="DW127" i="1"/>
  <c r="DV127" i="1"/>
  <c r="DU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A127" i="1"/>
  <c r="CU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C127" i="1"/>
  <c r="AW127" i="1"/>
  <c r="AD127" i="1"/>
  <c r="G127" i="1" s="1"/>
  <c r="EB127" i="1" s="1"/>
  <c r="DX126" i="1"/>
  <c r="DW126" i="1"/>
  <c r="DV126" i="1"/>
  <c r="DT126" i="1"/>
  <c r="DQ126" i="1"/>
  <c r="DP126" i="1"/>
  <c r="DO126" i="1"/>
  <c r="DJ126" i="1"/>
  <c r="DI126" i="1"/>
  <c r="DH126" i="1"/>
  <c r="DG126" i="1"/>
  <c r="DF126" i="1"/>
  <c r="DE126" i="1"/>
  <c r="DD126" i="1"/>
  <c r="DA126" i="1"/>
  <c r="CZ126" i="1"/>
  <c r="CV126" i="1"/>
  <c r="CT126" i="1"/>
  <c r="DS126" i="1" s="1"/>
  <c r="CS126" i="1"/>
  <c r="CO126" i="1"/>
  <c r="CO147" i="1" s="1"/>
  <c r="CN126" i="1"/>
  <c r="CN147" i="1" s="1"/>
  <c r="CM126" i="1"/>
  <c r="CM147" i="1" s="1"/>
  <c r="CL126" i="1"/>
  <c r="BZ126" i="1"/>
  <c r="BY126" i="1"/>
  <c r="BX126" i="1"/>
  <c r="BV126" i="1"/>
  <c r="BS126" i="1"/>
  <c r="BR126" i="1"/>
  <c r="BQ126" i="1"/>
  <c r="BN126" i="1"/>
  <c r="BL126" i="1"/>
  <c r="BK126" i="1"/>
  <c r="BJ126" i="1"/>
  <c r="BI126" i="1"/>
  <c r="BH126" i="1"/>
  <c r="BG126" i="1"/>
  <c r="BF126" i="1"/>
  <c r="BC126" i="1"/>
  <c r="CB126" i="1" s="1"/>
  <c r="BB126" i="1"/>
  <c r="CA126" i="1" s="1"/>
  <c r="AX126" i="1"/>
  <c r="BW126" i="1" s="1"/>
  <c r="AV126" i="1"/>
  <c r="BU126" i="1" s="1"/>
  <c r="AU126" i="1"/>
  <c r="AU147" i="1" s="1"/>
  <c r="AQ126" i="1"/>
  <c r="AP126" i="1"/>
  <c r="AO126" i="1"/>
  <c r="AN126" i="1"/>
  <c r="AD126" i="1"/>
  <c r="DZ126" i="1" s="1"/>
  <c r="AC126" i="1"/>
  <c r="DY126" i="1" s="1"/>
  <c r="V126" i="1"/>
  <c r="R126" i="1"/>
  <c r="BP126" i="1" s="1"/>
  <c r="Q126" i="1"/>
  <c r="BO126" i="1" s="1"/>
  <c r="P126" i="1"/>
  <c r="O126" i="1"/>
  <c r="DZ125" i="1"/>
  <c r="DX125" i="1"/>
  <c r="DW125" i="1"/>
  <c r="DV125" i="1"/>
  <c r="DU125" i="1"/>
  <c r="DT125" i="1"/>
  <c r="DS125" i="1"/>
  <c r="DQ125" i="1"/>
  <c r="DP125" i="1"/>
  <c r="DO125" i="1"/>
  <c r="DJ125" i="1"/>
  <c r="DI125" i="1"/>
  <c r="DH125" i="1"/>
  <c r="DG125" i="1"/>
  <c r="DF125" i="1"/>
  <c r="DE125" i="1"/>
  <c r="DD125" i="1"/>
  <c r="DA125" i="1"/>
  <c r="CZ125" i="1"/>
  <c r="CZ147" i="1" s="1"/>
  <c r="CL125" i="1"/>
  <c r="CA125" i="1"/>
  <c r="BZ125" i="1"/>
  <c r="BY125" i="1"/>
  <c r="BX125" i="1"/>
  <c r="BW125" i="1"/>
  <c r="BV125" i="1"/>
  <c r="BU125" i="1"/>
  <c r="BS125" i="1"/>
  <c r="BR125" i="1"/>
  <c r="BQ125" i="1"/>
  <c r="BP125" i="1"/>
  <c r="BL125" i="1"/>
  <c r="BK125" i="1"/>
  <c r="BJ125" i="1"/>
  <c r="BI125" i="1"/>
  <c r="BH125" i="1"/>
  <c r="BG125" i="1"/>
  <c r="BF125" i="1"/>
  <c r="BC125" i="1"/>
  <c r="BB125" i="1"/>
  <c r="AP125" i="1"/>
  <c r="AP147" i="1" s="1"/>
  <c r="AO125" i="1"/>
  <c r="AN125" i="1"/>
  <c r="AD125" i="1"/>
  <c r="AC125" i="1"/>
  <c r="AC147" i="1" s="1"/>
  <c r="V125" i="1"/>
  <c r="R125" i="1"/>
  <c r="Q125" i="1"/>
  <c r="P125" i="1"/>
  <c r="O125" i="1"/>
  <c r="DX124" i="1"/>
  <c r="DW124" i="1"/>
  <c r="DV124" i="1"/>
  <c r="DT124" i="1"/>
  <c r="DP124" i="1"/>
  <c r="DO124" i="1"/>
  <c r="DJ124" i="1"/>
  <c r="DI124" i="1"/>
  <c r="DH124" i="1"/>
  <c r="DG124" i="1"/>
  <c r="DF124" i="1"/>
  <c r="DF146" i="1" s="1"/>
  <c r="DE124" i="1"/>
  <c r="DD124" i="1"/>
  <c r="DA124" i="1"/>
  <c r="CV124" i="1"/>
  <c r="CT124" i="1"/>
  <c r="CT146" i="1" s="1"/>
  <c r="CR124" i="1"/>
  <c r="CR146" i="1" s="1"/>
  <c r="CO124" i="1"/>
  <c r="CN124" i="1"/>
  <c r="CM124" i="1"/>
  <c r="DL124" i="1" s="1"/>
  <c r="CL124" i="1"/>
  <c r="BZ124" i="1"/>
  <c r="BY124" i="1"/>
  <c r="BY146" i="1" s="1"/>
  <c r="BX124" i="1"/>
  <c r="BV124" i="1"/>
  <c r="BR124" i="1"/>
  <c r="BQ124" i="1"/>
  <c r="BM124" i="1"/>
  <c r="BL124" i="1"/>
  <c r="BK124" i="1"/>
  <c r="BI124" i="1"/>
  <c r="BI146" i="1" s="1"/>
  <c r="BG124" i="1"/>
  <c r="BF124" i="1"/>
  <c r="BC124" i="1"/>
  <c r="BC146" i="1" s="1"/>
  <c r="BB124" i="1"/>
  <c r="BB146" i="1" s="1"/>
  <c r="AX124" i="1"/>
  <c r="AV124" i="1"/>
  <c r="AT124" i="1"/>
  <c r="AQ124" i="1"/>
  <c r="AP124" i="1"/>
  <c r="BO124" i="1" s="1"/>
  <c r="AO124" i="1"/>
  <c r="AN124" i="1"/>
  <c r="AD124" i="1"/>
  <c r="CB124" i="1" s="1"/>
  <c r="AC124" i="1"/>
  <c r="Y124" i="1"/>
  <c r="V124" i="1"/>
  <c r="BT124" i="1" s="1"/>
  <c r="R124" i="1"/>
  <c r="DN124" i="1" s="1"/>
  <c r="Q124" i="1"/>
  <c r="P124" i="1"/>
  <c r="O124" i="1"/>
  <c r="L124" i="1"/>
  <c r="G124" i="1"/>
  <c r="EB124" i="1" s="1"/>
  <c r="DZ123" i="1"/>
  <c r="DX123" i="1"/>
  <c r="DX146" i="1" s="1"/>
  <c r="DW123" i="1"/>
  <c r="DV123" i="1"/>
  <c r="DV146" i="1" s="1"/>
  <c r="DU123" i="1"/>
  <c r="DT123" i="1"/>
  <c r="DT146" i="1" s="1"/>
  <c r="DS123" i="1"/>
  <c r="DQ123" i="1"/>
  <c r="DO123" i="1"/>
  <c r="DM123" i="1"/>
  <c r="DJ123" i="1"/>
  <c r="DI123" i="1"/>
  <c r="DH123" i="1"/>
  <c r="DG123" i="1"/>
  <c r="DE123" i="1"/>
  <c r="DE146" i="1" s="1"/>
  <c r="DD123" i="1"/>
  <c r="CS123" i="1"/>
  <c r="CS146" i="1" s="1"/>
  <c r="CO123" i="1"/>
  <c r="CN123" i="1"/>
  <c r="CM123" i="1"/>
  <c r="DL123" i="1" s="1"/>
  <c r="DL146" i="1" s="1"/>
  <c r="CL123" i="1"/>
  <c r="DK123" i="1" s="1"/>
  <c r="CB123" i="1"/>
  <c r="BZ123" i="1"/>
  <c r="BZ146" i="1" s="1"/>
  <c r="BY123" i="1"/>
  <c r="BX123" i="1"/>
  <c r="BX146" i="1" s="1"/>
  <c r="BW123" i="1"/>
  <c r="BV123" i="1"/>
  <c r="BV146" i="1" s="1"/>
  <c r="BU123" i="1"/>
  <c r="BT123" i="1"/>
  <c r="BS123" i="1"/>
  <c r="BQ123" i="1"/>
  <c r="BL123" i="1"/>
  <c r="BL146" i="1" s="1"/>
  <c r="BK123" i="1"/>
  <c r="BK146" i="1" s="1"/>
  <c r="BJ123" i="1"/>
  <c r="BI123" i="1"/>
  <c r="BG123" i="1"/>
  <c r="BG146" i="1" s="1"/>
  <c r="BF123" i="1"/>
  <c r="AU123" i="1"/>
  <c r="AQ123" i="1"/>
  <c r="AP123" i="1"/>
  <c r="AO123" i="1"/>
  <c r="BN123" i="1" s="1"/>
  <c r="AN123" i="1"/>
  <c r="V123" i="1"/>
  <c r="T123" i="1"/>
  <c r="BR123" i="1" s="1"/>
  <c r="BR146" i="1" s="1"/>
  <c r="R123" i="1"/>
  <c r="Q123" i="1"/>
  <c r="P123" i="1"/>
  <c r="O123" i="1"/>
  <c r="DZ122" i="1"/>
  <c r="DX122" i="1"/>
  <c r="DW122" i="1"/>
  <c r="DV122" i="1"/>
  <c r="DV142" i="1" s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G122" i="1"/>
  <c r="DE122" i="1"/>
  <c r="DD122" i="1"/>
  <c r="CD122" i="1"/>
  <c r="CB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G122" i="1"/>
  <c r="BF122" i="1"/>
  <c r="AF122" i="1"/>
  <c r="AE122" i="1"/>
  <c r="BD122" i="1" s="1"/>
  <c r="AD122" i="1"/>
  <c r="G122" i="1"/>
  <c r="DY121" i="1"/>
  <c r="DF121" i="1"/>
  <c r="CZ121" i="1"/>
  <c r="CY121" i="1"/>
  <c r="CT121" i="1"/>
  <c r="CS121" i="1"/>
  <c r="CR121" i="1"/>
  <c r="CQ121" i="1"/>
  <c r="CP121" i="1"/>
  <c r="CO121" i="1"/>
  <c r="CN121" i="1"/>
  <c r="CM121" i="1"/>
  <c r="CL121" i="1"/>
  <c r="CK121" i="1"/>
  <c r="CI121" i="1"/>
  <c r="CG121" i="1"/>
  <c r="CA121" i="1"/>
  <c r="BR121" i="1"/>
  <c r="BG121" i="1"/>
  <c r="BB121" i="1"/>
  <c r="BA121" i="1"/>
  <c r="AV121" i="1"/>
  <c r="AU121" i="1"/>
  <c r="AT121" i="1"/>
  <c r="AS121" i="1"/>
  <c r="AR121" i="1"/>
  <c r="AQ121" i="1"/>
  <c r="AP121" i="1"/>
  <c r="AO121" i="1"/>
  <c r="AN121" i="1"/>
  <c r="AM121" i="1"/>
  <c r="AK121" i="1"/>
  <c r="AI121" i="1"/>
  <c r="AH121" i="1"/>
  <c r="AC121" i="1"/>
  <c r="AB121" i="1"/>
  <c r="Y121" i="1"/>
  <c r="X121" i="1"/>
  <c r="W121" i="1"/>
  <c r="V121" i="1"/>
  <c r="U121" i="1"/>
  <c r="T121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DZ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G120" i="1"/>
  <c r="DE120" i="1"/>
  <c r="CX120" i="1"/>
  <c r="CE120" i="1"/>
  <c r="DD120" i="1" s="1"/>
  <c r="CD120" i="1"/>
  <c r="CC120" i="1"/>
  <c r="DB120" i="1" s="1"/>
  <c r="CB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I120" i="1"/>
  <c r="BH120" i="1"/>
  <c r="BG120" i="1"/>
  <c r="AZ120" i="1"/>
  <c r="BY120" i="1" s="1"/>
  <c r="AG120" i="1"/>
  <c r="G120" i="1"/>
  <c r="EB120" i="1" s="1"/>
  <c r="EB119" i="1"/>
  <c r="DZ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E119" i="1"/>
  <c r="CX119" i="1"/>
  <c r="DW119" i="1" s="1"/>
  <c r="CE119" i="1"/>
  <c r="DD119" i="1" s="1"/>
  <c r="CB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AZ119" i="1"/>
  <c r="BY119" i="1" s="1"/>
  <c r="AG119" i="1"/>
  <c r="AF119" i="1" s="1"/>
  <c r="AE119" i="1" s="1"/>
  <c r="BD119" i="1" s="1"/>
  <c r="G119" i="1"/>
  <c r="EB118" i="1"/>
  <c r="DZ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E118" i="1"/>
  <c r="CX118" i="1"/>
  <c r="DW118" i="1" s="1"/>
  <c r="CE118" i="1"/>
  <c r="DD118" i="1" s="1"/>
  <c r="CB118" i="1"/>
  <c r="BZ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AZ118" i="1"/>
  <c r="BY118" i="1" s="1"/>
  <c r="AG118" i="1"/>
  <c r="AF118" i="1" s="1"/>
  <c r="G118" i="1"/>
  <c r="EB117" i="1"/>
  <c r="CH117" i="1"/>
  <c r="CH148" i="1" s="1"/>
  <c r="CB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AJ117" i="1"/>
  <c r="AJ148" i="1" s="1"/>
  <c r="G117" i="1"/>
  <c r="EB116" i="1"/>
  <c r="DZ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CX116" i="1"/>
  <c r="DW116" i="1" s="1"/>
  <c r="CE116" i="1"/>
  <c r="CD116" i="1" s="1"/>
  <c r="CC116" i="1" s="1"/>
  <c r="DB116" i="1" s="1"/>
  <c r="CB116" i="1"/>
  <c r="BZ116" i="1"/>
  <c r="BZ121" i="1" s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AZ116" i="1"/>
  <c r="AG116" i="1"/>
  <c r="AG121" i="1" s="1"/>
  <c r="G116" i="1"/>
  <c r="EB115" i="1"/>
  <c r="DZ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E115" i="1"/>
  <c r="DD115" i="1"/>
  <c r="CX115" i="1"/>
  <c r="CB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AZ115" i="1"/>
  <c r="BY115" i="1" s="1"/>
  <c r="AF115" i="1"/>
  <c r="G115" i="1"/>
  <c r="DZ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C114" i="1" s="1"/>
  <c r="ED114" i="1" s="1"/>
  <c r="DG114" i="1"/>
  <c r="DE114" i="1"/>
  <c r="DD114" i="1"/>
  <c r="CD114" i="1"/>
  <c r="CB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AZ114" i="1"/>
  <c r="AF114" i="1"/>
  <c r="AE114" i="1"/>
  <c r="BD114" i="1" s="1"/>
  <c r="G114" i="1"/>
  <c r="DZ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E113" i="1"/>
  <c r="DD113" i="1"/>
  <c r="DC113" i="1"/>
  <c r="ED113" i="1" s="1"/>
  <c r="CD113" i="1"/>
  <c r="CB113" i="1"/>
  <c r="BZ113" i="1"/>
  <c r="BX113" i="1"/>
  <c r="BW113" i="1"/>
  <c r="BV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AZ113" i="1"/>
  <c r="BY113" i="1" s="1"/>
  <c r="AF113" i="1"/>
  <c r="G113" i="1"/>
  <c r="DZ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E112" i="1"/>
  <c r="DD112" i="1"/>
  <c r="CX112" i="1"/>
  <c r="CD112" i="1"/>
  <c r="CC112" i="1" s="1"/>
  <c r="DB112" i="1" s="1"/>
  <c r="CB112" i="1"/>
  <c r="BZ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AZ112" i="1"/>
  <c r="AF112" i="1" s="1"/>
  <c r="G112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/>
  <c r="DD111" i="1"/>
  <c r="DA111" i="1"/>
  <c r="CX111" i="1"/>
  <c r="BZ111" i="1"/>
  <c r="BX111" i="1"/>
  <c r="BW111" i="1"/>
  <c r="BV111" i="1"/>
  <c r="BU111" i="1"/>
  <c r="BT111" i="1"/>
  <c r="BS111" i="1"/>
  <c r="BR111" i="1"/>
  <c r="BQ111" i="1"/>
  <c r="BP111" i="1"/>
  <c r="BP121" i="1" s="1"/>
  <c r="BO111" i="1"/>
  <c r="BN111" i="1"/>
  <c r="BM111" i="1"/>
  <c r="BL111" i="1"/>
  <c r="BK111" i="1"/>
  <c r="BJ111" i="1"/>
  <c r="BI111" i="1"/>
  <c r="BH111" i="1"/>
  <c r="BG111" i="1"/>
  <c r="BF111" i="1"/>
  <c r="BC111" i="1"/>
  <c r="AZ111" i="1"/>
  <c r="AD111" i="1"/>
  <c r="G111" i="1" s="1"/>
  <c r="EB111" i="1" s="1"/>
  <c r="DX110" i="1"/>
  <c r="DW110" i="1"/>
  <c r="DU110" i="1"/>
  <c r="DS110" i="1"/>
  <c r="DR110" i="1"/>
  <c r="DQ110" i="1"/>
  <c r="DP110" i="1"/>
  <c r="DO110" i="1"/>
  <c r="DN110" i="1"/>
  <c r="DM110" i="1"/>
  <c r="DL110" i="1"/>
  <c r="DK110" i="1"/>
  <c r="DJ110" i="1"/>
  <c r="DH110" i="1"/>
  <c r="DG110" i="1"/>
  <c r="DE110" i="1"/>
  <c r="DD110" i="1"/>
  <c r="DA110" i="1"/>
  <c r="CW110" i="1"/>
  <c r="CV110" i="1"/>
  <c r="CV148" i="1" s="1"/>
  <c r="CU110" i="1"/>
  <c r="CU148" i="1" s="1"/>
  <c r="CJ110" i="1"/>
  <c r="BZ110" i="1"/>
  <c r="BY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C110" i="1"/>
  <c r="AY110" i="1"/>
  <c r="AX110" i="1"/>
  <c r="AW110" i="1"/>
  <c r="AW148" i="1" s="1"/>
  <c r="AL110" i="1"/>
  <c r="AL148" i="1" s="1"/>
  <c r="AD110" i="1"/>
  <c r="Z110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A109" i="1"/>
  <c r="DZ109" i="1" s="1"/>
  <c r="CX109" i="1"/>
  <c r="CW109" i="1"/>
  <c r="CF109" i="1"/>
  <c r="CE109" i="1"/>
  <c r="BZ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C109" i="1"/>
  <c r="AZ109" i="1"/>
  <c r="BY109" i="1" s="1"/>
  <c r="AY109" i="1"/>
  <c r="AH109" i="1"/>
  <c r="AH148" i="1" s="1"/>
  <c r="AG109" i="1"/>
  <c r="AD109" i="1"/>
  <c r="Z109" i="1"/>
  <c r="I109" i="1"/>
  <c r="I148" i="1" s="1"/>
  <c r="H109" i="1"/>
  <c r="EB108" i="1"/>
  <c r="DZ108" i="1"/>
  <c r="DX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E108" i="1"/>
  <c r="DD108" i="1"/>
  <c r="DB108" i="1"/>
  <c r="CD108" i="1"/>
  <c r="BI108" i="1"/>
  <c r="BE108" i="1"/>
  <c r="AF108" i="1"/>
  <c r="AA108" i="1"/>
  <c r="BY108" i="1" s="1"/>
  <c r="G108" i="1"/>
  <c r="EB107" i="1"/>
  <c r="DZ107" i="1"/>
  <c r="DX107" i="1"/>
  <c r="DV107" i="1"/>
  <c r="DU107" i="1"/>
  <c r="DT107" i="1"/>
  <c r="DS107" i="1"/>
  <c r="DR107" i="1"/>
  <c r="DQ107" i="1"/>
  <c r="DQ148" i="1" s="1"/>
  <c r="DP107" i="1"/>
  <c r="DO107" i="1"/>
  <c r="DN107" i="1"/>
  <c r="DM107" i="1"/>
  <c r="DL107" i="1"/>
  <c r="DK107" i="1"/>
  <c r="DJ107" i="1"/>
  <c r="DI107" i="1"/>
  <c r="DH107" i="1"/>
  <c r="DG107" i="1"/>
  <c r="DE107" i="1"/>
  <c r="CX107" i="1"/>
  <c r="DW107" i="1" s="1"/>
  <c r="CE107" i="1"/>
  <c r="DD107" i="1" s="1"/>
  <c r="CB107" i="1"/>
  <c r="BZ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AZ107" i="1"/>
  <c r="AG107" i="1"/>
  <c r="AA107" i="1"/>
  <c r="AA121" i="1" s="1"/>
  <c r="G107" i="1"/>
  <c r="EB106" i="1"/>
  <c r="DZ106" i="1"/>
  <c r="DX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E106" i="1"/>
  <c r="DD106" i="1"/>
  <c r="CX106" i="1"/>
  <c r="DW106" i="1" s="1"/>
  <c r="CE106" i="1"/>
  <c r="CB106" i="1"/>
  <c r="BZ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BF106" i="1"/>
  <c r="AZ106" i="1"/>
  <c r="AG106" i="1"/>
  <c r="G106" i="1"/>
  <c r="DZ105" i="1"/>
  <c r="DX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E105" i="1"/>
  <c r="DD105" i="1"/>
  <c r="CX105" i="1"/>
  <c r="CB105" i="1"/>
  <c r="BZ105" i="1"/>
  <c r="BX105" i="1"/>
  <c r="BW105" i="1"/>
  <c r="BV105" i="1"/>
  <c r="BU105" i="1"/>
  <c r="BT105" i="1"/>
  <c r="BS105" i="1"/>
  <c r="BR105" i="1"/>
  <c r="BQ105" i="1"/>
  <c r="BP105" i="1"/>
  <c r="BO105" i="1"/>
  <c r="BO148" i="1" s="1"/>
  <c r="BN105" i="1"/>
  <c r="BM105" i="1"/>
  <c r="BL105" i="1"/>
  <c r="BK105" i="1"/>
  <c r="BJ105" i="1"/>
  <c r="BI105" i="1"/>
  <c r="BH105" i="1"/>
  <c r="BG105" i="1"/>
  <c r="BG148" i="1" s="1"/>
  <c r="BF105" i="1"/>
  <c r="AZ105" i="1"/>
  <c r="BY105" i="1" s="1"/>
  <c r="AF105" i="1"/>
  <c r="AE105" i="1" s="1"/>
  <c r="BD105" i="1" s="1"/>
  <c r="G105" i="1"/>
  <c r="EB105" i="1" s="1"/>
  <c r="DY104" i="1"/>
  <c r="DF104" i="1"/>
  <c r="CZ104" i="1"/>
  <c r="CY104" i="1"/>
  <c r="CX104" i="1"/>
  <c r="CS104" i="1"/>
  <c r="CR104" i="1"/>
  <c r="CQ104" i="1"/>
  <c r="CP104" i="1"/>
  <c r="CO104" i="1"/>
  <c r="CN104" i="1"/>
  <c r="CM104" i="1"/>
  <c r="CL104" i="1"/>
  <c r="CK104" i="1"/>
  <c r="CJ104" i="1"/>
  <c r="CI104" i="1"/>
  <c r="CG104" i="1"/>
  <c r="CE104" i="1"/>
  <c r="CA104" i="1"/>
  <c r="BB104" i="1"/>
  <c r="BA104" i="1"/>
  <c r="AZ104" i="1"/>
  <c r="AU104" i="1"/>
  <c r="AT104" i="1"/>
  <c r="AS104" i="1"/>
  <c r="AR104" i="1"/>
  <c r="AQ104" i="1"/>
  <c r="AP104" i="1"/>
  <c r="AO104" i="1"/>
  <c r="AN104" i="1"/>
  <c r="AM104" i="1"/>
  <c r="AL104" i="1"/>
  <c r="AK104" i="1"/>
  <c r="AI104" i="1"/>
  <c r="AG104" i="1"/>
  <c r="AC104" i="1"/>
  <c r="AB104" i="1"/>
  <c r="AA104" i="1"/>
  <c r="Y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H104" i="1"/>
  <c r="DX103" i="1"/>
  <c r="DW103" i="1"/>
  <c r="DV103" i="1"/>
  <c r="DU103" i="1"/>
  <c r="DT103" i="1"/>
  <c r="DS103" i="1"/>
  <c r="DR103" i="1"/>
  <c r="DQ103" i="1"/>
  <c r="DP103" i="1"/>
  <c r="DO103" i="1"/>
  <c r="DN103" i="1"/>
  <c r="DM103" i="1"/>
  <c r="DL103" i="1"/>
  <c r="DK103" i="1"/>
  <c r="DJ103" i="1"/>
  <c r="DI103" i="1"/>
  <c r="DH103" i="1"/>
  <c r="DG103" i="1"/>
  <c r="DE103" i="1"/>
  <c r="DD103" i="1"/>
  <c r="DA103" i="1"/>
  <c r="CD103" i="1" s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C103" i="1"/>
  <c r="AF103" i="1"/>
  <c r="AD103" i="1"/>
  <c r="G103" i="1" s="1"/>
  <c r="EB103" i="1" s="1"/>
  <c r="EB102" i="1"/>
  <c r="DX102" i="1"/>
  <c r="DW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D102" i="1"/>
  <c r="DA102" i="1"/>
  <c r="CW102" i="1"/>
  <c r="DV102" i="1" s="1"/>
  <c r="CV102" i="1"/>
  <c r="CF102" i="1"/>
  <c r="DE102" i="1" s="1"/>
  <c r="BZ102" i="1"/>
  <c r="BY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F102" i="1"/>
  <c r="BC102" i="1"/>
  <c r="CB102" i="1" s="1"/>
  <c r="AY102" i="1"/>
  <c r="AX102" i="1"/>
  <c r="AH102" i="1"/>
  <c r="BG102" i="1" s="1"/>
  <c r="AD102" i="1"/>
  <c r="DZ102" i="1" s="1"/>
  <c r="Z102" i="1"/>
  <c r="G102" i="1"/>
  <c r="DZ101" i="1"/>
  <c r="DX101" i="1"/>
  <c r="DW101" i="1"/>
  <c r="DV101" i="1"/>
  <c r="DU101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E101" i="1"/>
  <c r="DD101" i="1"/>
  <c r="CD101" i="1"/>
  <c r="AJ101" i="1"/>
  <c r="AF101" i="1" s="1"/>
  <c r="X101" i="1"/>
  <c r="DZ100" i="1"/>
  <c r="DX100" i="1"/>
  <c r="DW100" i="1"/>
  <c r="DV100" i="1"/>
  <c r="DU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E100" i="1"/>
  <c r="DD100" i="1"/>
  <c r="CD100" i="1"/>
  <c r="CB100" i="1"/>
  <c r="BZ100" i="1"/>
  <c r="BY100" i="1"/>
  <c r="BX100" i="1"/>
  <c r="BW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AF100" i="1"/>
  <c r="X100" i="1"/>
  <c r="EB99" i="1"/>
  <c r="DZ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D99" i="1"/>
  <c r="CF99" i="1"/>
  <c r="DE99" i="1" s="1"/>
  <c r="DC99" i="1" s="1"/>
  <c r="CD99" i="1"/>
  <c r="CB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F99" i="1"/>
  <c r="AH99" i="1"/>
  <c r="BG99" i="1" s="1"/>
  <c r="AF99" i="1"/>
  <c r="G99" i="1"/>
  <c r="EB98" i="1"/>
  <c r="DZ98" i="1"/>
  <c r="DX98" i="1"/>
  <c r="DW98" i="1"/>
  <c r="DV98" i="1"/>
  <c r="DU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E98" i="1"/>
  <c r="DD98" i="1"/>
  <c r="CU98" i="1"/>
  <c r="DT98" i="1" s="1"/>
  <c r="CB98" i="1"/>
  <c r="BZ98" i="1"/>
  <c r="BY98" i="1"/>
  <c r="BX98" i="1"/>
  <c r="BW98" i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AW98" i="1"/>
  <c r="AF98" i="1" s="1"/>
  <c r="AE98" i="1" s="1"/>
  <c r="BD98" i="1" s="1"/>
  <c r="G98" i="1"/>
  <c r="DZ97" i="1"/>
  <c r="DX97" i="1"/>
  <c r="DW97" i="1"/>
  <c r="DU97" i="1"/>
  <c r="DT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E97" i="1"/>
  <c r="DD97" i="1"/>
  <c r="CW97" i="1"/>
  <c r="CF97" i="1"/>
  <c r="CD97" i="1" s="1"/>
  <c r="CC97" i="1" s="1"/>
  <c r="DB97" i="1" s="1"/>
  <c r="CB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AY97" i="1"/>
  <c r="AH97" i="1"/>
  <c r="G97" i="1"/>
  <c r="EB97" i="1" s="1"/>
  <c r="DZ96" i="1"/>
  <c r="DX96" i="1"/>
  <c r="DW96" i="1"/>
  <c r="DV96" i="1"/>
  <c r="DU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E96" i="1"/>
  <c r="DD96" i="1"/>
  <c r="CU96" i="1"/>
  <c r="CF96" i="1"/>
  <c r="CB96" i="1"/>
  <c r="BZ96" i="1"/>
  <c r="BY96" i="1"/>
  <c r="BX96" i="1"/>
  <c r="BW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BF96" i="1"/>
  <c r="AW96" i="1"/>
  <c r="BV96" i="1" s="1"/>
  <c r="AH96" i="1"/>
  <c r="X96" i="1"/>
  <c r="DT96" i="1" s="1"/>
  <c r="G96" i="1"/>
  <c r="EB96" i="1" s="1"/>
  <c r="DZ95" i="1"/>
  <c r="DX95" i="1"/>
  <c r="DW95" i="1"/>
  <c r="DV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D95" i="1"/>
  <c r="CV95" i="1"/>
  <c r="DU95" i="1" s="1"/>
  <c r="CF95" i="1"/>
  <c r="CB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AX95" i="1"/>
  <c r="AH95" i="1"/>
  <c r="AF95" i="1" s="1"/>
  <c r="I95" i="1"/>
  <c r="DE95" i="1" s="1"/>
  <c r="G95" i="1"/>
  <c r="DZ94" i="1"/>
  <c r="DX94" i="1"/>
  <c r="DW94" i="1"/>
  <c r="DV94" i="1"/>
  <c r="DU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E94" i="1"/>
  <c r="DD94" i="1"/>
  <c r="CU94" i="1"/>
  <c r="CD94" i="1" s="1"/>
  <c r="CC94" i="1" s="1"/>
  <c r="DB94" i="1" s="1"/>
  <c r="CB94" i="1"/>
  <c r="BZ94" i="1"/>
  <c r="BY94" i="1"/>
  <c r="BX94" i="1"/>
  <c r="BW94" i="1"/>
  <c r="BU94" i="1"/>
  <c r="BT94" i="1"/>
  <c r="BS94" i="1"/>
  <c r="BR94" i="1"/>
  <c r="BQ94" i="1"/>
  <c r="BQ104" i="1" s="1"/>
  <c r="BP94" i="1"/>
  <c r="BO94" i="1"/>
  <c r="BN94" i="1"/>
  <c r="BM94" i="1"/>
  <c r="BL94" i="1"/>
  <c r="BK94" i="1"/>
  <c r="BJ94" i="1"/>
  <c r="BI94" i="1"/>
  <c r="BH94" i="1"/>
  <c r="BG94" i="1"/>
  <c r="BF94" i="1"/>
  <c r="AW94" i="1"/>
  <c r="BV94" i="1" s="1"/>
  <c r="X94" i="1"/>
  <c r="G94" i="1"/>
  <c r="EB94" i="1" s="1"/>
  <c r="DZ93" i="1"/>
  <c r="DX93" i="1"/>
  <c r="DW93" i="1"/>
  <c r="DV93" i="1"/>
  <c r="DU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E93" i="1"/>
  <c r="DD93" i="1"/>
  <c r="CU93" i="1"/>
  <c r="CD93" i="1" s="1"/>
  <c r="CC93" i="1" s="1"/>
  <c r="DB93" i="1" s="1"/>
  <c r="CB93" i="1"/>
  <c r="BZ93" i="1"/>
  <c r="BY93" i="1"/>
  <c r="BX93" i="1"/>
  <c r="BW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AW93" i="1"/>
  <c r="AF93" i="1" s="1"/>
  <c r="AE93" i="1" s="1"/>
  <c r="BD93" i="1" s="1"/>
  <c r="X93" i="1"/>
  <c r="G93" i="1"/>
  <c r="EB93" i="1" s="1"/>
  <c r="DX92" i="1"/>
  <c r="DW92" i="1"/>
  <c r="DU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D92" i="1"/>
  <c r="DA92" i="1"/>
  <c r="DZ92" i="1" s="1"/>
  <c r="CW92" i="1"/>
  <c r="CV92" i="1"/>
  <c r="CU92" i="1"/>
  <c r="CF92" i="1"/>
  <c r="CB92" i="1"/>
  <c r="BZ92" i="1"/>
  <c r="BY92" i="1"/>
  <c r="BY104" i="1" s="1"/>
  <c r="BW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C92" i="1"/>
  <c r="AY92" i="1"/>
  <c r="AX92" i="1"/>
  <c r="AW92" i="1"/>
  <c r="AH92" i="1"/>
  <c r="AD92" i="1"/>
  <c r="Z92" i="1"/>
  <c r="X92" i="1"/>
  <c r="X104" i="1" s="1"/>
  <c r="I92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E91" i="1"/>
  <c r="DC91" i="1" s="1"/>
  <c r="ED91" i="1" s="1"/>
  <c r="DD91" i="1"/>
  <c r="CD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E91" i="1" s="1"/>
  <c r="BF91" i="1"/>
  <c r="AF91" i="1"/>
  <c r="G91" i="1"/>
  <c r="EB91" i="1" s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E90" i="1"/>
  <c r="DD90" i="1"/>
  <c r="DA90" i="1"/>
  <c r="DZ90" i="1" s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C90" i="1"/>
  <c r="AD90" i="1"/>
  <c r="I90" i="1"/>
  <c r="EB89" i="1"/>
  <c r="DZ89" i="1"/>
  <c r="DX89" i="1"/>
  <c r="DW89" i="1"/>
  <c r="DV89" i="1"/>
  <c r="DU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E89" i="1"/>
  <c r="DD89" i="1"/>
  <c r="CU89" i="1"/>
  <c r="DT89" i="1" s="1"/>
  <c r="CB89" i="1"/>
  <c r="BZ89" i="1"/>
  <c r="BY89" i="1"/>
  <c r="BX89" i="1"/>
  <c r="BW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AW89" i="1"/>
  <c r="BV89" i="1" s="1"/>
  <c r="G89" i="1"/>
  <c r="DX88" i="1"/>
  <c r="DW88" i="1"/>
  <c r="DV88" i="1"/>
  <c r="DU88" i="1"/>
  <c r="DT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E88" i="1"/>
  <c r="DD88" i="1"/>
  <c r="DA88" i="1"/>
  <c r="BZ88" i="1"/>
  <c r="BY88" i="1"/>
  <c r="BX88" i="1"/>
  <c r="BW88" i="1"/>
  <c r="BV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C88" i="1"/>
  <c r="AV88" i="1"/>
  <c r="AV152" i="1" s="1"/>
  <c r="AD88" i="1"/>
  <c r="W88" i="1"/>
  <c r="DZ87" i="1"/>
  <c r="DX87" i="1"/>
  <c r="DW87" i="1"/>
  <c r="DV87" i="1"/>
  <c r="DU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E87" i="1"/>
  <c r="DD87" i="1"/>
  <c r="CU87" i="1"/>
  <c r="CD87" i="1" s="1"/>
  <c r="CB87" i="1"/>
  <c r="BZ87" i="1"/>
  <c r="BY87" i="1"/>
  <c r="BX87" i="1"/>
  <c r="BW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AW87" i="1"/>
  <c r="G87" i="1"/>
  <c r="EB87" i="1" s="1"/>
  <c r="DZ86" i="1"/>
  <c r="DX86" i="1"/>
  <c r="DW86" i="1"/>
  <c r="DU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E86" i="1"/>
  <c r="DD86" i="1"/>
  <c r="CW86" i="1"/>
  <c r="DV86" i="1" s="1"/>
  <c r="CU86" i="1"/>
  <c r="DT86" i="1" s="1"/>
  <c r="CD86" i="1"/>
  <c r="CB86" i="1"/>
  <c r="BZ86" i="1"/>
  <c r="BY86" i="1"/>
  <c r="BW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AY86" i="1"/>
  <c r="BX86" i="1" s="1"/>
  <c r="AW86" i="1"/>
  <c r="AF86" i="1" s="1"/>
  <c r="G86" i="1"/>
  <c r="EB86" i="1" s="1"/>
  <c r="EB85" i="1"/>
  <c r="DZ85" i="1"/>
  <c r="DX85" i="1"/>
  <c r="DW85" i="1"/>
  <c r="DV85" i="1"/>
  <c r="DU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E85" i="1"/>
  <c r="DD85" i="1"/>
  <c r="CU85" i="1"/>
  <c r="CD85" i="1" s="1"/>
  <c r="CC85" i="1"/>
  <c r="DB85" i="1" s="1"/>
  <c r="CB85" i="1"/>
  <c r="BZ85" i="1"/>
  <c r="BY85" i="1"/>
  <c r="BX85" i="1"/>
  <c r="BW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D85" i="1"/>
  <c r="AW85" i="1"/>
  <c r="BV85" i="1" s="1"/>
  <c r="G85" i="1"/>
  <c r="EB84" i="1"/>
  <c r="DZ84" i="1"/>
  <c r="DX84" i="1"/>
  <c r="DW84" i="1"/>
  <c r="DV84" i="1"/>
  <c r="DU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E84" i="1"/>
  <c r="DD84" i="1"/>
  <c r="CU84" i="1"/>
  <c r="DT84" i="1" s="1"/>
  <c r="CB84" i="1"/>
  <c r="BZ84" i="1"/>
  <c r="BY84" i="1"/>
  <c r="BX84" i="1"/>
  <c r="BW84" i="1"/>
  <c r="BU84" i="1"/>
  <c r="BT84" i="1"/>
  <c r="BS84" i="1"/>
  <c r="BR84" i="1"/>
  <c r="BQ84" i="1"/>
  <c r="BP84" i="1"/>
  <c r="BP104" i="1" s="1"/>
  <c r="BO84" i="1"/>
  <c r="BN84" i="1"/>
  <c r="BM84" i="1"/>
  <c r="BL84" i="1"/>
  <c r="BK84" i="1"/>
  <c r="BJ84" i="1"/>
  <c r="BI84" i="1"/>
  <c r="BH84" i="1"/>
  <c r="BG84" i="1"/>
  <c r="BF84" i="1"/>
  <c r="BD84" i="1"/>
  <c r="AW84" i="1"/>
  <c r="BV84" i="1" s="1"/>
  <c r="G84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L104" i="1" s="1"/>
  <c r="DK83" i="1"/>
  <c r="DJ83" i="1"/>
  <c r="DI83" i="1"/>
  <c r="DH83" i="1"/>
  <c r="DG83" i="1"/>
  <c r="DE83" i="1"/>
  <c r="DD83" i="1"/>
  <c r="DA83" i="1"/>
  <c r="CW83" i="1"/>
  <c r="DV83" i="1" s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C83" i="1"/>
  <c r="AF83" i="1" s="1"/>
  <c r="AY83" i="1"/>
  <c r="BX83" i="1" s="1"/>
  <c r="AD83" i="1"/>
  <c r="EB82" i="1"/>
  <c r="DZ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D82" i="1"/>
  <c r="CF82" i="1"/>
  <c r="CB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F82" i="1"/>
  <c r="AH82" i="1"/>
  <c r="G82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D81" i="1"/>
  <c r="CF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F81" i="1"/>
  <c r="BC81" i="1"/>
  <c r="AH81" i="1"/>
  <c r="AD81" i="1"/>
  <c r="G81" i="1"/>
  <c r="DY80" i="1"/>
  <c r="CZ80" i="1"/>
  <c r="CX80" i="1"/>
  <c r="CQ80" i="1"/>
  <c r="CK80" i="1"/>
  <c r="CJ80" i="1"/>
  <c r="CI80" i="1"/>
  <c r="CG80" i="1"/>
  <c r="CF80" i="1"/>
  <c r="CE80" i="1"/>
  <c r="CA80" i="1"/>
  <c r="BB80" i="1"/>
  <c r="AZ80" i="1"/>
  <c r="AS80" i="1"/>
  <c r="AM80" i="1"/>
  <c r="AL80" i="1"/>
  <c r="AK80" i="1"/>
  <c r="AI80" i="1"/>
  <c r="AH80" i="1"/>
  <c r="AG80" i="1"/>
  <c r="AC80" i="1"/>
  <c r="AA80" i="1"/>
  <c r="Y80" i="1"/>
  <c r="X80" i="1"/>
  <c r="V80" i="1"/>
  <c r="U80" i="1"/>
  <c r="T80" i="1"/>
  <c r="N80" i="1"/>
  <c r="M80" i="1"/>
  <c r="L80" i="1"/>
  <c r="K80" i="1"/>
  <c r="J80" i="1"/>
  <c r="I80" i="1"/>
  <c r="H80" i="1"/>
  <c r="DZ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J79" i="1"/>
  <c r="DI79" i="1"/>
  <c r="DH79" i="1"/>
  <c r="DG79" i="1"/>
  <c r="DF79" i="1"/>
  <c r="DE79" i="1"/>
  <c r="DD79" i="1"/>
  <c r="CW79" i="1"/>
  <c r="CL79" i="1"/>
  <c r="CB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L79" i="1"/>
  <c r="BK79" i="1"/>
  <c r="BJ79" i="1"/>
  <c r="BI79" i="1"/>
  <c r="BH79" i="1"/>
  <c r="BG79" i="1"/>
  <c r="BF79" i="1"/>
  <c r="AY79" i="1"/>
  <c r="AN79" i="1"/>
  <c r="AF79" i="1" s="1"/>
  <c r="AD79" i="1"/>
  <c r="Z79" i="1"/>
  <c r="DZ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A78" i="1"/>
  <c r="CD78" i="1" s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C78" i="1"/>
  <c r="AF78" i="1" s="1"/>
  <c r="AD78" i="1"/>
  <c r="Z78" i="1"/>
  <c r="O78" i="1"/>
  <c r="DX77" i="1"/>
  <c r="DW77" i="1"/>
  <c r="DU77" i="1"/>
  <c r="DT77" i="1"/>
  <c r="DS77" i="1"/>
  <c r="DR77" i="1"/>
  <c r="DQ77" i="1"/>
  <c r="DP77" i="1"/>
  <c r="DO77" i="1"/>
  <c r="DN77" i="1"/>
  <c r="DM77" i="1"/>
  <c r="DL77" i="1"/>
  <c r="DJ77" i="1"/>
  <c r="DI77" i="1"/>
  <c r="DH77" i="1"/>
  <c r="DG77" i="1"/>
  <c r="DF77" i="1"/>
  <c r="DE77" i="1"/>
  <c r="DD77" i="1"/>
  <c r="DA77" i="1"/>
  <c r="CW77" i="1"/>
  <c r="CL77" i="1"/>
  <c r="CD77" i="1"/>
  <c r="BZ77" i="1"/>
  <c r="BY77" i="1"/>
  <c r="BW77" i="1"/>
  <c r="BV77" i="1"/>
  <c r="BU77" i="1"/>
  <c r="BT77" i="1"/>
  <c r="BS77" i="1"/>
  <c r="BR77" i="1"/>
  <c r="BQ77" i="1"/>
  <c r="BP77" i="1"/>
  <c r="BO77" i="1"/>
  <c r="BN77" i="1"/>
  <c r="BL77" i="1"/>
  <c r="BK77" i="1"/>
  <c r="BJ77" i="1"/>
  <c r="BI77" i="1"/>
  <c r="BH77" i="1"/>
  <c r="BG77" i="1"/>
  <c r="BF77" i="1"/>
  <c r="BC77" i="1"/>
  <c r="AY77" i="1"/>
  <c r="AN77" i="1"/>
  <c r="BM77" i="1" s="1"/>
  <c r="AD77" i="1"/>
  <c r="DZ77" i="1" s="1"/>
  <c r="Z77" i="1"/>
  <c r="O77" i="1"/>
  <c r="EB76" i="1"/>
  <c r="DZ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CD76" i="1"/>
  <c r="CC76" i="1"/>
  <c r="DB76" i="1" s="1"/>
  <c r="CB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AF76" i="1"/>
  <c r="AE76" i="1"/>
  <c r="BD76" i="1" s="1"/>
  <c r="G76" i="1"/>
  <c r="DX75" i="1"/>
  <c r="DW75" i="1"/>
  <c r="DU75" i="1"/>
  <c r="DT75" i="1"/>
  <c r="DS75" i="1"/>
  <c r="DR75" i="1"/>
  <c r="DQ75" i="1"/>
  <c r="DP75" i="1"/>
  <c r="DN75" i="1"/>
  <c r="DM75" i="1"/>
  <c r="DL75" i="1"/>
  <c r="DJ75" i="1"/>
  <c r="DI75" i="1"/>
  <c r="DH75" i="1"/>
  <c r="DG75" i="1"/>
  <c r="DF75" i="1"/>
  <c r="DE75" i="1"/>
  <c r="DD75" i="1"/>
  <c r="CW75" i="1"/>
  <c r="DV75" i="1" s="1"/>
  <c r="CP75" i="1"/>
  <c r="DO75" i="1" s="1"/>
  <c r="CL75" i="1"/>
  <c r="BZ75" i="1"/>
  <c r="BY75" i="1"/>
  <c r="BW75" i="1"/>
  <c r="BV75" i="1"/>
  <c r="BU75" i="1"/>
  <c r="BT75" i="1"/>
  <c r="BS75" i="1"/>
  <c r="BR75" i="1"/>
  <c r="BP75" i="1"/>
  <c r="BO75" i="1"/>
  <c r="BN75" i="1"/>
  <c r="BM75" i="1"/>
  <c r="BL75" i="1"/>
  <c r="BK75" i="1"/>
  <c r="BJ75" i="1"/>
  <c r="BI75" i="1"/>
  <c r="BH75" i="1"/>
  <c r="BG75" i="1"/>
  <c r="BF75" i="1"/>
  <c r="BC75" i="1"/>
  <c r="AY75" i="1"/>
  <c r="BX75" i="1" s="1"/>
  <c r="AR75" i="1"/>
  <c r="AF75" i="1" s="1"/>
  <c r="AN75" i="1"/>
  <c r="AD75" i="1"/>
  <c r="Z75" i="1"/>
  <c r="S75" i="1"/>
  <c r="O75" i="1"/>
  <c r="EB74" i="1"/>
  <c r="DZ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CD74" i="1"/>
  <c r="CB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E74" i="1" s="1"/>
  <c r="EC74" i="1" s="1"/>
  <c r="BJ74" i="1"/>
  <c r="BI74" i="1"/>
  <c r="BH74" i="1"/>
  <c r="BG74" i="1"/>
  <c r="BF74" i="1"/>
  <c r="AF74" i="1"/>
  <c r="AE74" i="1" s="1"/>
  <c r="BD74" i="1" s="1"/>
  <c r="G74" i="1"/>
  <c r="EB73" i="1"/>
  <c r="DZ73" i="1"/>
  <c r="DX73" i="1"/>
  <c r="DW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CW73" i="1"/>
  <c r="CD73" i="1" s="1"/>
  <c r="CB73" i="1"/>
  <c r="BZ73" i="1"/>
  <c r="BY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AY73" i="1"/>
  <c r="AF73" i="1" s="1"/>
  <c r="Z73" i="1"/>
  <c r="G73" i="1"/>
  <c r="DZ72" i="1"/>
  <c r="DX72" i="1"/>
  <c r="DW72" i="1"/>
  <c r="DV72" i="1"/>
  <c r="DU72" i="1"/>
  <c r="DT72" i="1"/>
  <c r="DR72" i="1"/>
  <c r="DQ72" i="1"/>
  <c r="DP72" i="1"/>
  <c r="DO72" i="1"/>
  <c r="DN72" i="1"/>
  <c r="DM72" i="1"/>
  <c r="DL72" i="1"/>
  <c r="DJ72" i="1"/>
  <c r="DI72" i="1"/>
  <c r="DH72" i="1"/>
  <c r="DG72" i="1"/>
  <c r="DF72" i="1"/>
  <c r="DE72" i="1"/>
  <c r="DD72" i="1"/>
  <c r="CW72" i="1"/>
  <c r="CT72" i="1" s="1"/>
  <c r="CD72" i="1" s="1"/>
  <c r="CB72" i="1"/>
  <c r="BZ72" i="1"/>
  <c r="BY72" i="1"/>
  <c r="BW72" i="1"/>
  <c r="BV72" i="1"/>
  <c r="BT72" i="1"/>
  <c r="BS72" i="1"/>
  <c r="BR72" i="1"/>
  <c r="BQ72" i="1"/>
  <c r="BP72" i="1"/>
  <c r="BO72" i="1"/>
  <c r="BN72" i="1"/>
  <c r="BL72" i="1"/>
  <c r="BK72" i="1"/>
  <c r="BJ72" i="1"/>
  <c r="BI72" i="1"/>
  <c r="BH72" i="1"/>
  <c r="BG72" i="1"/>
  <c r="BF72" i="1"/>
  <c r="AY72" i="1"/>
  <c r="BX72" i="1" s="1"/>
  <c r="AV72" i="1"/>
  <c r="AV80" i="1" s="1"/>
  <c r="W72" i="1"/>
  <c r="W150" i="1" s="1"/>
  <c r="O72" i="1"/>
  <c r="BM72" i="1" s="1"/>
  <c r="DZ71" i="1"/>
  <c r="DX71" i="1"/>
  <c r="DW71" i="1"/>
  <c r="DV71" i="1"/>
  <c r="DU71" i="1"/>
  <c r="DT71" i="1"/>
  <c r="DS71" i="1"/>
  <c r="DR71" i="1"/>
  <c r="DQ71" i="1"/>
  <c r="DP71" i="1"/>
  <c r="DN71" i="1"/>
  <c r="DM71" i="1"/>
  <c r="DL71" i="1"/>
  <c r="DJ71" i="1"/>
  <c r="DI71" i="1"/>
  <c r="DH71" i="1"/>
  <c r="DG71" i="1"/>
  <c r="DF71" i="1"/>
  <c r="DE71" i="1"/>
  <c r="DD71" i="1"/>
  <c r="CL71" i="1"/>
  <c r="CD71" i="1" s="1"/>
  <c r="CB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L71" i="1"/>
  <c r="BK71" i="1"/>
  <c r="BJ71" i="1"/>
  <c r="BI71" i="1"/>
  <c r="BH71" i="1"/>
  <c r="BG71" i="1"/>
  <c r="BF71" i="1"/>
  <c r="AN71" i="1"/>
  <c r="AF71" i="1" s="1"/>
  <c r="S71" i="1"/>
  <c r="DO71" i="1" s="1"/>
  <c r="O71" i="1"/>
  <c r="EB70" i="1"/>
  <c r="DZ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CD70" i="1"/>
  <c r="CC70" i="1"/>
  <c r="DB70" i="1" s="1"/>
  <c r="CB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 s="1"/>
  <c r="AF70" i="1"/>
  <c r="AE70" i="1" s="1"/>
  <c r="BD70" i="1" s="1"/>
  <c r="G70" i="1"/>
  <c r="EB69" i="1"/>
  <c r="DZ69" i="1"/>
  <c r="DX69" i="1"/>
  <c r="DW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F69" i="1"/>
  <c r="DE69" i="1"/>
  <c r="DD69" i="1"/>
  <c r="CW69" i="1"/>
  <c r="DV69" i="1" s="1"/>
  <c r="CB69" i="1"/>
  <c r="BZ69" i="1"/>
  <c r="BY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I69" i="1"/>
  <c r="BH69" i="1"/>
  <c r="BG69" i="1"/>
  <c r="BF69" i="1"/>
  <c r="AY69" i="1"/>
  <c r="G69" i="1"/>
  <c r="EB68" i="1"/>
  <c r="DZ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 s="1"/>
  <c r="CD68" i="1"/>
  <c r="CC68" i="1" s="1"/>
  <c r="DB68" i="1" s="1"/>
  <c r="CB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 s="1"/>
  <c r="EC68" i="1" s="1"/>
  <c r="AF68" i="1"/>
  <c r="AE68" i="1"/>
  <c r="BD68" i="1" s="1"/>
  <c r="G68" i="1"/>
  <c r="EB67" i="1"/>
  <c r="DZ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CD67" i="1"/>
  <c r="CC67" i="1"/>
  <c r="DB67" i="1" s="1"/>
  <c r="CB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E67" i="1" s="1"/>
  <c r="EC67" i="1" s="1"/>
  <c r="BK67" i="1"/>
  <c r="BJ67" i="1"/>
  <c r="BI67" i="1"/>
  <c r="BH67" i="1"/>
  <c r="BG67" i="1"/>
  <c r="BF67" i="1"/>
  <c r="BD67" i="1"/>
  <c r="AF67" i="1"/>
  <c r="AE67" i="1"/>
  <c r="G67" i="1"/>
  <c r="DZ66" i="1"/>
  <c r="DX66" i="1"/>
  <c r="DW66" i="1"/>
  <c r="DV66" i="1"/>
  <c r="DU66" i="1"/>
  <c r="DT66" i="1"/>
  <c r="DS66" i="1"/>
  <c r="DR66" i="1"/>
  <c r="DQ66" i="1"/>
  <c r="DP66" i="1"/>
  <c r="DO66" i="1"/>
  <c r="DJ66" i="1"/>
  <c r="DI66" i="1"/>
  <c r="DH66" i="1"/>
  <c r="DG66" i="1"/>
  <c r="DF66" i="1"/>
  <c r="DE66" i="1"/>
  <c r="DD66" i="1"/>
  <c r="CN66" i="1"/>
  <c r="CN150" i="1" s="1"/>
  <c r="CM66" i="1"/>
  <c r="CL66" i="1"/>
  <c r="DK66" i="1" s="1"/>
  <c r="CD66" i="1"/>
  <c r="CB66" i="1"/>
  <c r="BZ66" i="1"/>
  <c r="BY66" i="1"/>
  <c r="BX66" i="1"/>
  <c r="BW66" i="1"/>
  <c r="BV66" i="1"/>
  <c r="BU66" i="1"/>
  <c r="BT66" i="1"/>
  <c r="BS66" i="1"/>
  <c r="BR66" i="1"/>
  <c r="BQ66" i="1"/>
  <c r="BO66" i="1"/>
  <c r="BL66" i="1"/>
  <c r="BK66" i="1"/>
  <c r="BJ66" i="1"/>
  <c r="BI66" i="1"/>
  <c r="BH66" i="1"/>
  <c r="BG66" i="1"/>
  <c r="BF66" i="1"/>
  <c r="AQ66" i="1"/>
  <c r="AP66" i="1"/>
  <c r="AP150" i="1" s="1"/>
  <c r="AO66" i="1"/>
  <c r="AN66" i="1"/>
  <c r="R66" i="1"/>
  <c r="R80" i="1" s="1"/>
  <c r="Q66" i="1"/>
  <c r="DM66" i="1" s="1"/>
  <c r="P66" i="1"/>
  <c r="DL66" i="1" s="1"/>
  <c r="EB65" i="1"/>
  <c r="DZ65" i="1"/>
  <c r="DX65" i="1"/>
  <c r="DW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CW65" i="1"/>
  <c r="DV65" i="1" s="1"/>
  <c r="CB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AY65" i="1"/>
  <c r="AF65" i="1" s="1"/>
  <c r="AE65" i="1"/>
  <c r="BD65" i="1" s="1"/>
  <c r="G65" i="1"/>
  <c r="EB64" i="1"/>
  <c r="DZ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J64" i="1"/>
  <c r="DI64" i="1"/>
  <c r="DH64" i="1"/>
  <c r="DG64" i="1"/>
  <c r="DF64" i="1"/>
  <c r="DE64" i="1"/>
  <c r="DD64" i="1"/>
  <c r="CL64" i="1"/>
  <c r="DK64" i="1" s="1"/>
  <c r="CB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L64" i="1"/>
  <c r="BK64" i="1"/>
  <c r="BJ64" i="1"/>
  <c r="BI64" i="1"/>
  <c r="BH64" i="1"/>
  <c r="BG64" i="1"/>
  <c r="BF64" i="1"/>
  <c r="AN64" i="1"/>
  <c r="BM64" i="1" s="1"/>
  <c r="G64" i="1"/>
  <c r="DX63" i="1"/>
  <c r="DW63" i="1"/>
  <c r="DT63" i="1"/>
  <c r="DS63" i="1"/>
  <c r="DR63" i="1"/>
  <c r="DQ63" i="1"/>
  <c r="DP63" i="1"/>
  <c r="DN63" i="1"/>
  <c r="DL63" i="1"/>
  <c r="DK63" i="1"/>
  <c r="DJ63" i="1"/>
  <c r="DI63" i="1"/>
  <c r="DH63" i="1"/>
  <c r="DG63" i="1"/>
  <c r="DF63" i="1"/>
  <c r="DE63" i="1"/>
  <c r="DD63" i="1"/>
  <c r="CW63" i="1"/>
  <c r="DV63" i="1" s="1"/>
  <c r="CV63" i="1"/>
  <c r="CP63" i="1"/>
  <c r="CD63" i="1"/>
  <c r="BZ63" i="1"/>
  <c r="BY63" i="1"/>
  <c r="BW63" i="1"/>
  <c r="BV63" i="1"/>
  <c r="BU63" i="1"/>
  <c r="BT63" i="1"/>
  <c r="BS63" i="1"/>
  <c r="BR63" i="1"/>
  <c r="BP63" i="1"/>
  <c r="BO63" i="1"/>
  <c r="BN63" i="1"/>
  <c r="BM63" i="1"/>
  <c r="BL63" i="1"/>
  <c r="BK63" i="1"/>
  <c r="BJ63" i="1"/>
  <c r="BI63" i="1"/>
  <c r="BH63" i="1"/>
  <c r="BG63" i="1"/>
  <c r="BF63" i="1"/>
  <c r="AY63" i="1"/>
  <c r="BX63" i="1" s="1"/>
  <c r="AX63" i="1"/>
  <c r="AX150" i="1" s="1"/>
  <c r="AR63" i="1"/>
  <c r="AF63" i="1" s="1"/>
  <c r="AD63" i="1"/>
  <c r="S63" i="1"/>
  <c r="R63" i="1"/>
  <c r="Q63" i="1"/>
  <c r="P63" i="1"/>
  <c r="DZ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G62" i="1"/>
  <c r="DF62" i="1"/>
  <c r="DE62" i="1"/>
  <c r="DD62" i="1"/>
  <c r="CL62" i="1"/>
  <c r="CD62" i="1" s="1"/>
  <c r="CB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I62" i="1"/>
  <c r="BH62" i="1"/>
  <c r="BG62" i="1"/>
  <c r="BF62" i="1"/>
  <c r="AN62" i="1"/>
  <c r="BM62" i="1" s="1"/>
  <c r="G62" i="1"/>
  <c r="EB62" i="1" s="1"/>
  <c r="DX61" i="1"/>
  <c r="DW61" i="1"/>
  <c r="DU61" i="1"/>
  <c r="DT61" i="1"/>
  <c r="DS61" i="1"/>
  <c r="DR61" i="1"/>
  <c r="DQ61" i="1"/>
  <c r="DP61" i="1"/>
  <c r="DO61" i="1"/>
  <c r="DN61" i="1"/>
  <c r="DM61" i="1"/>
  <c r="DL61" i="1"/>
  <c r="DJ61" i="1"/>
  <c r="DI61" i="1"/>
  <c r="DH61" i="1"/>
  <c r="DG61" i="1"/>
  <c r="DF61" i="1"/>
  <c r="DE61" i="1"/>
  <c r="DD61" i="1"/>
  <c r="CW61" i="1"/>
  <c r="CL61" i="1"/>
  <c r="DK61" i="1" s="1"/>
  <c r="BZ61" i="1"/>
  <c r="BY61" i="1"/>
  <c r="BW61" i="1"/>
  <c r="BV61" i="1"/>
  <c r="BU61" i="1"/>
  <c r="BT61" i="1"/>
  <c r="BS61" i="1"/>
  <c r="BR61" i="1"/>
  <c r="BQ61" i="1"/>
  <c r="BP61" i="1"/>
  <c r="BO61" i="1"/>
  <c r="BN61" i="1"/>
  <c r="BL61" i="1"/>
  <c r="BK61" i="1"/>
  <c r="BJ61" i="1"/>
  <c r="BI61" i="1"/>
  <c r="BH61" i="1"/>
  <c r="BG61" i="1"/>
  <c r="BF61" i="1"/>
  <c r="AY61" i="1"/>
  <c r="BX61" i="1" s="1"/>
  <c r="AN61" i="1"/>
  <c r="BM61" i="1" s="1"/>
  <c r="AD61" i="1"/>
  <c r="G61" i="1" s="1"/>
  <c r="EB61" i="1" s="1"/>
  <c r="DZ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J60" i="1"/>
  <c r="DI60" i="1"/>
  <c r="DH60" i="1"/>
  <c r="DG60" i="1"/>
  <c r="DF60" i="1"/>
  <c r="DE60" i="1"/>
  <c r="DD60" i="1"/>
  <c r="DA60" i="1"/>
  <c r="CR60" i="1"/>
  <c r="CO60" i="1"/>
  <c r="CO150" i="1" s="1"/>
  <c r="CL60" i="1"/>
  <c r="BZ60" i="1"/>
  <c r="BY60" i="1"/>
  <c r="BX60" i="1"/>
  <c r="BW60" i="1"/>
  <c r="BV60" i="1"/>
  <c r="BU60" i="1"/>
  <c r="BT60" i="1"/>
  <c r="BR60" i="1"/>
  <c r="BQ60" i="1"/>
  <c r="BP60" i="1"/>
  <c r="BO60" i="1"/>
  <c r="BN60" i="1"/>
  <c r="BL60" i="1"/>
  <c r="BK60" i="1"/>
  <c r="BJ60" i="1"/>
  <c r="BI60" i="1"/>
  <c r="BH60" i="1"/>
  <c r="BG60" i="1"/>
  <c r="BF60" i="1"/>
  <c r="BC60" i="1"/>
  <c r="CB60" i="1" s="1"/>
  <c r="AT60" i="1"/>
  <c r="AQ60" i="1"/>
  <c r="AN60" i="1"/>
  <c r="AD60" i="1"/>
  <c r="U60" i="1"/>
  <c r="U150" i="1" s="1"/>
  <c r="DZ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J59" i="1"/>
  <c r="DI59" i="1"/>
  <c r="DH59" i="1"/>
  <c r="DG59" i="1"/>
  <c r="DF59" i="1"/>
  <c r="DE59" i="1"/>
  <c r="DD59" i="1"/>
  <c r="CL59" i="1"/>
  <c r="DK59" i="1" s="1"/>
  <c r="CD59" i="1"/>
  <c r="CB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L59" i="1"/>
  <c r="BK59" i="1"/>
  <c r="BJ59" i="1"/>
  <c r="BI59" i="1"/>
  <c r="BH59" i="1"/>
  <c r="BG59" i="1"/>
  <c r="BF59" i="1"/>
  <c r="AN59" i="1"/>
  <c r="AF59" i="1" s="1"/>
  <c r="AE59" i="1"/>
  <c r="BD59" i="1" s="1"/>
  <c r="O59" i="1"/>
  <c r="BM59" i="1" s="1"/>
  <c r="G59" i="1"/>
  <c r="EB59" i="1" s="1"/>
  <c r="DZ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G58" i="1"/>
  <c r="DF58" i="1"/>
  <c r="DE58" i="1"/>
  <c r="DC58" i="1" s="1"/>
  <c r="DD58" i="1"/>
  <c r="CD58" i="1"/>
  <c r="CB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BG58" i="1"/>
  <c r="BF58" i="1"/>
  <c r="AF58" i="1"/>
  <c r="G58" i="1"/>
  <c r="EB58" i="1" s="1"/>
  <c r="DZ57" i="1"/>
  <c r="DX57" i="1"/>
  <c r="DW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/>
  <c r="DD57" i="1"/>
  <c r="CW57" i="1"/>
  <c r="CD57" i="1" s="1"/>
  <c r="CB57" i="1"/>
  <c r="BZ57" i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/>
  <c r="BF57" i="1"/>
  <c r="AY57" i="1"/>
  <c r="AF57" i="1"/>
  <c r="Z57" i="1"/>
  <c r="BX57" i="1" s="1"/>
  <c r="DZ56" i="1"/>
  <c r="DX56" i="1"/>
  <c r="DW56" i="1"/>
  <c r="DU56" i="1"/>
  <c r="DT56" i="1"/>
  <c r="DS56" i="1"/>
  <c r="DR56" i="1"/>
  <c r="DQ56" i="1"/>
  <c r="DP56" i="1"/>
  <c r="DO56" i="1"/>
  <c r="DN56" i="1"/>
  <c r="DM56" i="1"/>
  <c r="DL56" i="1"/>
  <c r="DJ56" i="1"/>
  <c r="DI56" i="1"/>
  <c r="DH56" i="1"/>
  <c r="DG56" i="1"/>
  <c r="DF56" i="1"/>
  <c r="DE56" i="1"/>
  <c r="DD56" i="1"/>
  <c r="CW56" i="1"/>
  <c r="DV56" i="1" s="1"/>
  <c r="CL56" i="1"/>
  <c r="CB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L56" i="1"/>
  <c r="BK56" i="1"/>
  <c r="BJ56" i="1"/>
  <c r="BI56" i="1"/>
  <c r="BH56" i="1"/>
  <c r="BG56" i="1"/>
  <c r="BF56" i="1"/>
  <c r="AY56" i="1"/>
  <c r="AN56" i="1"/>
  <c r="G56" i="1"/>
  <c r="EB55" i="1"/>
  <c r="DZ55" i="1"/>
  <c r="DX55" i="1"/>
  <c r="DW55" i="1"/>
  <c r="DU55" i="1"/>
  <c r="DT55" i="1"/>
  <c r="DS55" i="1"/>
  <c r="DR55" i="1"/>
  <c r="DQ55" i="1"/>
  <c r="DP55" i="1"/>
  <c r="DO55" i="1"/>
  <c r="DN55" i="1"/>
  <c r="DM55" i="1"/>
  <c r="DL55" i="1"/>
  <c r="DJ55" i="1"/>
  <c r="DI55" i="1"/>
  <c r="DH55" i="1"/>
  <c r="DG55" i="1"/>
  <c r="DF55" i="1"/>
  <c r="DE55" i="1"/>
  <c r="DD55" i="1"/>
  <c r="CW55" i="1"/>
  <c r="DV55" i="1" s="1"/>
  <c r="CL55" i="1"/>
  <c r="CD55" i="1" s="1"/>
  <c r="CC55" i="1"/>
  <c r="DB55" i="1" s="1"/>
  <c r="CB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L55" i="1"/>
  <c r="BK55" i="1"/>
  <c r="BJ55" i="1"/>
  <c r="BI55" i="1"/>
  <c r="BH55" i="1"/>
  <c r="BG55" i="1"/>
  <c r="BF55" i="1"/>
  <c r="AY55" i="1"/>
  <c r="AN55" i="1"/>
  <c r="Z55" i="1"/>
  <c r="G55" i="1"/>
  <c r="DZ54" i="1"/>
  <c r="DX54" i="1"/>
  <c r="DW54" i="1"/>
  <c r="DU54" i="1"/>
  <c r="DT54" i="1"/>
  <c r="DS54" i="1"/>
  <c r="DR54" i="1"/>
  <c r="DQ54" i="1"/>
  <c r="DP54" i="1"/>
  <c r="DO54" i="1"/>
  <c r="DN54" i="1"/>
  <c r="DM54" i="1"/>
  <c r="DL54" i="1"/>
  <c r="DJ54" i="1"/>
  <c r="DI54" i="1"/>
  <c r="DH54" i="1"/>
  <c r="DG54" i="1"/>
  <c r="DF54" i="1"/>
  <c r="DE54" i="1"/>
  <c r="DD54" i="1"/>
  <c r="CW54" i="1"/>
  <c r="CL54" i="1"/>
  <c r="DK54" i="1" s="1"/>
  <c r="CB54" i="1"/>
  <c r="BZ54" i="1"/>
  <c r="BY54" i="1"/>
  <c r="BW54" i="1"/>
  <c r="BV54" i="1"/>
  <c r="BU54" i="1"/>
  <c r="BT54" i="1"/>
  <c r="BS54" i="1"/>
  <c r="BR54" i="1"/>
  <c r="BQ54" i="1"/>
  <c r="BP54" i="1"/>
  <c r="BO54" i="1"/>
  <c r="BN54" i="1"/>
  <c r="BL54" i="1"/>
  <c r="BK54" i="1"/>
  <c r="BJ54" i="1"/>
  <c r="BI54" i="1"/>
  <c r="BH54" i="1"/>
  <c r="BG54" i="1"/>
  <c r="BF54" i="1"/>
  <c r="AY54" i="1"/>
  <c r="AN54" i="1"/>
  <c r="BM54" i="1" s="1"/>
  <c r="AF54" i="1"/>
  <c r="Z54" i="1"/>
  <c r="EB53" i="1"/>
  <c r="DZ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J53" i="1"/>
  <c r="DI53" i="1"/>
  <c r="DH53" i="1"/>
  <c r="DG53" i="1"/>
  <c r="DF53" i="1"/>
  <c r="DE53" i="1"/>
  <c r="DD53" i="1"/>
  <c r="CL53" i="1"/>
  <c r="DK53" i="1" s="1"/>
  <c r="CD53" i="1"/>
  <c r="CC53" i="1"/>
  <c r="DB53" i="1" s="1"/>
  <c r="CB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L53" i="1"/>
  <c r="BK53" i="1"/>
  <c r="BJ53" i="1"/>
  <c r="BI53" i="1"/>
  <c r="BH53" i="1"/>
  <c r="BG53" i="1"/>
  <c r="BF53" i="1"/>
  <c r="AN53" i="1"/>
  <c r="AF53" i="1" s="1"/>
  <c r="AE53" i="1" s="1"/>
  <c r="BD53" i="1" s="1"/>
  <c r="G53" i="1"/>
  <c r="EB52" i="1"/>
  <c r="DZ52" i="1"/>
  <c r="DX52" i="1"/>
  <c r="DW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CW52" i="1"/>
  <c r="CD52" i="1" s="1"/>
  <c r="CB52" i="1"/>
  <c r="BZ52" i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AY52" i="1"/>
  <c r="AF52" i="1" s="1"/>
  <c r="Z52" i="1"/>
  <c r="G52" i="1"/>
  <c r="DZ51" i="1"/>
  <c r="DX51" i="1"/>
  <c r="DW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CW51" i="1"/>
  <c r="CD51" i="1" s="1"/>
  <c r="CB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AY51" i="1"/>
  <c r="AF51" i="1"/>
  <c r="Z51" i="1"/>
  <c r="DX50" i="1"/>
  <c r="DW50" i="1"/>
  <c r="DV50" i="1"/>
  <c r="DU50" i="1"/>
  <c r="DT50" i="1"/>
  <c r="DS50" i="1"/>
  <c r="DR50" i="1"/>
  <c r="DQ50" i="1"/>
  <c r="DP50" i="1"/>
  <c r="DO50" i="1"/>
  <c r="DN50" i="1"/>
  <c r="DM50" i="1"/>
  <c r="DL50" i="1"/>
  <c r="DJ50" i="1"/>
  <c r="DI50" i="1"/>
  <c r="DH50" i="1"/>
  <c r="DG50" i="1"/>
  <c r="DF50" i="1"/>
  <c r="DE50" i="1"/>
  <c r="DD50" i="1"/>
  <c r="DA50" i="1"/>
  <c r="CL50" i="1"/>
  <c r="CD50" i="1" s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C50" i="1"/>
  <c r="AN50" i="1"/>
  <c r="AD50" i="1"/>
  <c r="DZ50" i="1" s="1"/>
  <c r="O50" i="1"/>
  <c r="G50" i="1"/>
  <c r="EB50" i="1" s="1"/>
  <c r="EB49" i="1"/>
  <c r="DZ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 s="1"/>
  <c r="ED49" i="1" s="1"/>
  <c r="DB49" i="1"/>
  <c r="CD49" i="1"/>
  <c r="CB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 s="1"/>
  <c r="AF49" i="1"/>
  <c r="AE49" i="1"/>
  <c r="BD49" i="1" s="1"/>
  <c r="G49" i="1"/>
  <c r="CC49" i="1" s="1"/>
  <c r="DZ48" i="1"/>
  <c r="DW48" i="1"/>
  <c r="DU48" i="1"/>
  <c r="DS48" i="1"/>
  <c r="DR48" i="1"/>
  <c r="DQ48" i="1"/>
  <c r="DP48" i="1"/>
  <c r="DN48" i="1"/>
  <c r="DM48" i="1"/>
  <c r="DL48" i="1"/>
  <c r="DK48" i="1"/>
  <c r="DJ48" i="1"/>
  <c r="DI48" i="1"/>
  <c r="DH48" i="1"/>
  <c r="DG48" i="1"/>
  <c r="DF48" i="1"/>
  <c r="DE48" i="1"/>
  <c r="DD48" i="1"/>
  <c r="CY48" i="1"/>
  <c r="CY150" i="1" s="1"/>
  <c r="CW48" i="1"/>
  <c r="DV48" i="1" s="1"/>
  <c r="CU48" i="1"/>
  <c r="CU150" i="1" s="1"/>
  <c r="CP48" i="1"/>
  <c r="CB48" i="1"/>
  <c r="BY48" i="1"/>
  <c r="BW48" i="1"/>
  <c r="BV48" i="1"/>
  <c r="BU48" i="1"/>
  <c r="BT48" i="1"/>
  <c r="BS48" i="1"/>
  <c r="BR48" i="1"/>
  <c r="BP48" i="1"/>
  <c r="BO48" i="1"/>
  <c r="BN48" i="1"/>
  <c r="BM48" i="1"/>
  <c r="BL48" i="1"/>
  <c r="BK48" i="1"/>
  <c r="BJ48" i="1"/>
  <c r="BI48" i="1"/>
  <c r="BH48" i="1"/>
  <c r="BG48" i="1"/>
  <c r="BF48" i="1"/>
  <c r="BA48" i="1"/>
  <c r="BA150" i="1" s="1"/>
  <c r="AY48" i="1"/>
  <c r="BX48" i="1" s="1"/>
  <c r="AW48" i="1"/>
  <c r="AR48" i="1"/>
  <c r="AB48" i="1"/>
  <c r="S48" i="1"/>
  <c r="EB47" i="1"/>
  <c r="DZ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CD47" i="1"/>
  <c r="CC47" i="1"/>
  <c r="DB47" i="1" s="1"/>
  <c r="CB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AF47" i="1"/>
  <c r="AE47" i="1"/>
  <c r="BD47" i="1" s="1"/>
  <c r="G47" i="1"/>
  <c r="DX46" i="1"/>
  <c r="DW46" i="1"/>
  <c r="DV46" i="1"/>
  <c r="DU46" i="1"/>
  <c r="DT46" i="1"/>
  <c r="DS46" i="1"/>
  <c r="DR46" i="1"/>
  <c r="DQ46" i="1"/>
  <c r="DP46" i="1"/>
  <c r="DO46" i="1"/>
  <c r="DN46" i="1"/>
  <c r="DM46" i="1"/>
  <c r="DL46" i="1"/>
  <c r="DJ46" i="1"/>
  <c r="DI46" i="1"/>
  <c r="DH46" i="1"/>
  <c r="DG46" i="1"/>
  <c r="DF46" i="1"/>
  <c r="DE46" i="1"/>
  <c r="DD46" i="1"/>
  <c r="DA46" i="1"/>
  <c r="CL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L46" i="1"/>
  <c r="BK46" i="1"/>
  <c r="BJ46" i="1"/>
  <c r="BI46" i="1"/>
  <c r="BH46" i="1"/>
  <c r="BG46" i="1"/>
  <c r="BF46" i="1"/>
  <c r="BC46" i="1"/>
  <c r="AN46" i="1"/>
  <c r="AD46" i="1"/>
  <c r="DZ46" i="1" s="1"/>
  <c r="O46" i="1"/>
  <c r="EB45" i="1"/>
  <c r="DZ45" i="1"/>
  <c r="DX45" i="1"/>
  <c r="DW45" i="1"/>
  <c r="DU45" i="1"/>
  <c r="DT45" i="1"/>
  <c r="DS45" i="1"/>
  <c r="DR45" i="1"/>
  <c r="DQ45" i="1"/>
  <c r="DP45" i="1"/>
  <c r="DO45" i="1"/>
  <c r="DN45" i="1"/>
  <c r="DM45" i="1"/>
  <c r="DL45" i="1"/>
  <c r="DJ45" i="1"/>
  <c r="DI45" i="1"/>
  <c r="DH45" i="1"/>
  <c r="DG45" i="1"/>
  <c r="DF45" i="1"/>
  <c r="DE45" i="1"/>
  <c r="DD45" i="1"/>
  <c r="CL45" i="1"/>
  <c r="CB45" i="1"/>
  <c r="BZ45" i="1"/>
  <c r="BY45" i="1"/>
  <c r="BW45" i="1"/>
  <c r="BV45" i="1"/>
  <c r="BU45" i="1"/>
  <c r="BT45" i="1"/>
  <c r="BS45" i="1"/>
  <c r="BR45" i="1"/>
  <c r="BQ45" i="1"/>
  <c r="BP45" i="1"/>
  <c r="BO45" i="1"/>
  <c r="BN45" i="1"/>
  <c r="BL45" i="1"/>
  <c r="BK45" i="1"/>
  <c r="BJ45" i="1"/>
  <c r="BI45" i="1"/>
  <c r="BH45" i="1"/>
  <c r="BG45" i="1"/>
  <c r="BF45" i="1"/>
  <c r="AY45" i="1"/>
  <c r="BX45" i="1" s="1"/>
  <c r="AN45" i="1"/>
  <c r="G45" i="1"/>
  <c r="DX44" i="1"/>
  <c r="DW44" i="1"/>
  <c r="DU44" i="1"/>
  <c r="DT44" i="1"/>
  <c r="DS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A44" i="1"/>
  <c r="DZ44" i="1" s="1"/>
  <c r="CW44" i="1"/>
  <c r="DV44" i="1" s="1"/>
  <c r="CS44" i="1"/>
  <c r="CS150" i="1" s="1"/>
  <c r="CR44" i="1"/>
  <c r="CR150" i="1" s="1"/>
  <c r="CQ44" i="1"/>
  <c r="CQ150" i="1" s="1"/>
  <c r="CQ153" i="1" s="1"/>
  <c r="BZ44" i="1"/>
  <c r="BY44" i="1"/>
  <c r="BW44" i="1"/>
  <c r="BV44" i="1"/>
  <c r="BU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C44" i="1"/>
  <c r="CB44" i="1" s="1"/>
  <c r="AY44" i="1"/>
  <c r="BX44" i="1" s="1"/>
  <c r="AU44" i="1"/>
  <c r="AU150" i="1" s="1"/>
  <c r="AT44" i="1"/>
  <c r="BS44" i="1" s="1"/>
  <c r="AS44" i="1"/>
  <c r="AD44" i="1"/>
  <c r="V44" i="1"/>
  <c r="G44" i="1"/>
  <c r="EB44" i="1" s="1"/>
  <c r="DZ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J43" i="1"/>
  <c r="DI43" i="1"/>
  <c r="DH43" i="1"/>
  <c r="DG43" i="1"/>
  <c r="DF43" i="1"/>
  <c r="DE43" i="1"/>
  <c r="DD43" i="1"/>
  <c r="CW43" i="1"/>
  <c r="CL43" i="1"/>
  <c r="CB43" i="1"/>
  <c r="BZ43" i="1"/>
  <c r="BY43" i="1"/>
  <c r="BW43" i="1"/>
  <c r="BV43" i="1"/>
  <c r="BU43" i="1"/>
  <c r="BT43" i="1"/>
  <c r="BS43" i="1"/>
  <c r="BR43" i="1"/>
  <c r="BQ43" i="1"/>
  <c r="BP43" i="1"/>
  <c r="BO43" i="1"/>
  <c r="BN43" i="1"/>
  <c r="BL43" i="1"/>
  <c r="BK43" i="1"/>
  <c r="BJ43" i="1"/>
  <c r="BI43" i="1"/>
  <c r="BH43" i="1"/>
  <c r="BG43" i="1"/>
  <c r="BF43" i="1"/>
  <c r="AY43" i="1"/>
  <c r="BX43" i="1" s="1"/>
  <c r="AN43" i="1"/>
  <c r="Z43" i="1"/>
  <c r="G43" i="1"/>
  <c r="EB43" i="1" s="1"/>
  <c r="EB42" i="1"/>
  <c r="DX42" i="1"/>
  <c r="DW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DE42" i="1"/>
  <c r="DD42" i="1"/>
  <c r="DA42" i="1"/>
  <c r="DZ42" i="1" s="1"/>
  <c r="CL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L42" i="1"/>
  <c r="BK42" i="1"/>
  <c r="BJ42" i="1"/>
  <c r="BI42" i="1"/>
  <c r="BH42" i="1"/>
  <c r="BG42" i="1"/>
  <c r="BF42" i="1"/>
  <c r="BC42" i="1"/>
  <c r="AN42" i="1"/>
  <c r="AD42" i="1"/>
  <c r="O42" i="1"/>
  <c r="G42" i="1"/>
  <c r="DZ41" i="1"/>
  <c r="DX41" i="1"/>
  <c r="DW41" i="1"/>
  <c r="DU41" i="1"/>
  <c r="DT41" i="1"/>
  <c r="DS41" i="1"/>
  <c r="DR41" i="1"/>
  <c r="DQ41" i="1"/>
  <c r="DP41" i="1"/>
  <c r="DO41" i="1"/>
  <c r="DN41" i="1"/>
  <c r="DM41" i="1"/>
  <c r="DL41" i="1"/>
  <c r="DJ41" i="1"/>
  <c r="DI41" i="1"/>
  <c r="DH41" i="1"/>
  <c r="DG41" i="1"/>
  <c r="DF41" i="1"/>
  <c r="DE41" i="1"/>
  <c r="DD41" i="1"/>
  <c r="CW41" i="1"/>
  <c r="CL41" i="1"/>
  <c r="CD41" i="1" s="1"/>
  <c r="CB41" i="1"/>
  <c r="BZ41" i="1"/>
  <c r="BY41" i="1"/>
  <c r="BW41" i="1"/>
  <c r="BV41" i="1"/>
  <c r="BU41" i="1"/>
  <c r="BT41" i="1"/>
  <c r="BS41" i="1"/>
  <c r="BR41" i="1"/>
  <c r="BQ41" i="1"/>
  <c r="BP41" i="1"/>
  <c r="BO41" i="1"/>
  <c r="BN41" i="1"/>
  <c r="BL41" i="1"/>
  <c r="BK41" i="1"/>
  <c r="BJ41" i="1"/>
  <c r="BI41" i="1"/>
  <c r="BH41" i="1"/>
  <c r="BG41" i="1"/>
  <c r="BF41" i="1"/>
  <c r="AY41" i="1"/>
  <c r="AR41" i="1"/>
  <c r="AN41" i="1"/>
  <c r="BM41" i="1" s="1"/>
  <c r="Z41" i="1"/>
  <c r="O41" i="1"/>
  <c r="EB40" i="1"/>
  <c r="DZ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J40" i="1"/>
  <c r="DI40" i="1"/>
  <c r="DH40" i="1"/>
  <c r="DG40" i="1"/>
  <c r="DF40" i="1"/>
  <c r="DE40" i="1"/>
  <c r="DD40" i="1"/>
  <c r="CL40" i="1"/>
  <c r="CD40" i="1"/>
  <c r="CC40" i="1" s="1"/>
  <c r="DB40" i="1" s="1"/>
  <c r="CB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L40" i="1"/>
  <c r="BK40" i="1"/>
  <c r="BJ40" i="1"/>
  <c r="BI40" i="1"/>
  <c r="BH40" i="1"/>
  <c r="BG40" i="1"/>
  <c r="BF40" i="1"/>
  <c r="AN40" i="1"/>
  <c r="BM40" i="1" s="1"/>
  <c r="O40" i="1"/>
  <c r="G40" i="1"/>
  <c r="CY39" i="1"/>
  <c r="CX39" i="1"/>
  <c r="CW39" i="1"/>
  <c r="CS39" i="1"/>
  <c r="CR39" i="1"/>
  <c r="CQ39" i="1"/>
  <c r="CQ144" i="1" s="1"/>
  <c r="CQ154" i="1" s="1"/>
  <c r="CP39" i="1"/>
  <c r="CO39" i="1"/>
  <c r="CM39" i="1"/>
  <c r="CL39" i="1"/>
  <c r="CJ39" i="1"/>
  <c r="CI39" i="1"/>
  <c r="CI144" i="1" s="1"/>
  <c r="CI154" i="1" s="1"/>
  <c r="CE39" i="1"/>
  <c r="BA39" i="1"/>
  <c r="AZ39" i="1"/>
  <c r="AY39" i="1"/>
  <c r="AU39" i="1"/>
  <c r="AT39" i="1"/>
  <c r="AS39" i="1"/>
  <c r="AR39" i="1"/>
  <c r="AP39" i="1"/>
  <c r="AL39" i="1"/>
  <c r="AK39" i="1"/>
  <c r="AK144" i="1" s="1"/>
  <c r="AK154" i="1" s="1"/>
  <c r="AG39" i="1"/>
  <c r="AC39" i="1"/>
  <c r="AB39" i="1"/>
  <c r="AA39" i="1"/>
  <c r="AA144" i="1" s="1"/>
  <c r="Z39" i="1"/>
  <c r="W39" i="1"/>
  <c r="V39" i="1"/>
  <c r="T39" i="1"/>
  <c r="S39" i="1"/>
  <c r="R39" i="1"/>
  <c r="Q39" i="1"/>
  <c r="O39" i="1"/>
  <c r="N39" i="1"/>
  <c r="N144" i="1" s="1"/>
  <c r="M39" i="1"/>
  <c r="L39" i="1"/>
  <c r="K39" i="1"/>
  <c r="J39" i="1"/>
  <c r="J144" i="1" s="1"/>
  <c r="H39" i="1"/>
  <c r="EB38" i="1"/>
  <c r="DZ38" i="1"/>
  <c r="DX38" i="1"/>
  <c r="DW38" i="1"/>
  <c r="DV38" i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CU38" i="1"/>
  <c r="DT38" i="1" s="1"/>
  <c r="CB38" i="1"/>
  <c r="BZ38" i="1"/>
  <c r="BY38" i="1"/>
  <c r="BX38" i="1"/>
  <c r="BW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AW38" i="1"/>
  <c r="AF38" i="1" s="1"/>
  <c r="G38" i="1"/>
  <c r="EB37" i="1"/>
  <c r="DZ37" i="1"/>
  <c r="DX37" i="1"/>
  <c r="DW37" i="1"/>
  <c r="DV37" i="1"/>
  <c r="DU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CU37" i="1"/>
  <c r="CB37" i="1"/>
  <c r="BZ37" i="1"/>
  <c r="BY37" i="1"/>
  <c r="BX37" i="1"/>
  <c r="BW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AW37" i="1"/>
  <c r="AF37" i="1" s="1"/>
  <c r="G37" i="1"/>
  <c r="DZ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CU36" i="1"/>
  <c r="CD36" i="1"/>
  <c r="CB36" i="1"/>
  <c r="BZ36" i="1"/>
  <c r="BY36" i="1"/>
  <c r="BX36" i="1"/>
  <c r="BW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AW36" i="1"/>
  <c r="BV36" i="1" s="1"/>
  <c r="AF36" i="1"/>
  <c r="G36" i="1"/>
  <c r="EB36" i="1" s="1"/>
  <c r="DX35" i="1"/>
  <c r="DX147" i="1" s="1"/>
  <c r="DW35" i="1"/>
  <c r="DV35" i="1"/>
  <c r="DV147" i="1" s="1"/>
  <c r="DU35" i="1"/>
  <c r="DT35" i="1"/>
  <c r="DR35" i="1"/>
  <c r="DP35" i="1"/>
  <c r="DP147" i="1" s="1"/>
  <c r="DO35" i="1"/>
  <c r="DO147" i="1" s="1"/>
  <c r="DN35" i="1"/>
  <c r="DM35" i="1"/>
  <c r="DJ35" i="1"/>
  <c r="DJ147" i="1" s="1"/>
  <c r="DI35" i="1"/>
  <c r="DI147" i="1" s="1"/>
  <c r="DH35" i="1"/>
  <c r="DH147" i="1" s="1"/>
  <c r="DG35" i="1"/>
  <c r="DF35" i="1"/>
  <c r="DF147" i="1" s="1"/>
  <c r="DE35" i="1"/>
  <c r="DD35" i="1"/>
  <c r="DA35" i="1"/>
  <c r="DA147" i="1" s="1"/>
  <c r="CT35" i="1"/>
  <c r="CT39" i="1" s="1"/>
  <c r="CL35" i="1"/>
  <c r="CK35" i="1"/>
  <c r="BZ35" i="1"/>
  <c r="BZ147" i="1" s="1"/>
  <c r="BY35" i="1"/>
  <c r="BY147" i="1" s="1"/>
  <c r="BX35" i="1"/>
  <c r="BW35" i="1"/>
  <c r="BV35" i="1"/>
  <c r="BV147" i="1" s="1"/>
  <c r="BT35" i="1"/>
  <c r="BR35" i="1"/>
  <c r="BR147" i="1" s="1"/>
  <c r="BQ35" i="1"/>
  <c r="BQ147" i="1" s="1"/>
  <c r="BO35" i="1"/>
  <c r="BM35" i="1"/>
  <c r="BK35" i="1"/>
  <c r="BK147" i="1" s="1"/>
  <c r="BJ35" i="1"/>
  <c r="BI35" i="1"/>
  <c r="BH35" i="1"/>
  <c r="BH147" i="1" s="1"/>
  <c r="BG35" i="1"/>
  <c r="BF35" i="1"/>
  <c r="BF147" i="1" s="1"/>
  <c r="BC35" i="1"/>
  <c r="AV35" i="1"/>
  <c r="BU35" i="1" s="1"/>
  <c r="AQ35" i="1"/>
  <c r="BP35" i="1" s="1"/>
  <c r="BP147" i="1" s="1"/>
  <c r="AO35" i="1"/>
  <c r="AN35" i="1"/>
  <c r="AM35" i="1"/>
  <c r="AM147" i="1" s="1"/>
  <c r="AD35" i="1"/>
  <c r="U35" i="1"/>
  <c r="U39" i="1" s="1"/>
  <c r="U144" i="1" s="1"/>
  <c r="P35" i="1"/>
  <c r="G35" i="1"/>
  <c r="DX34" i="1"/>
  <c r="DW34" i="1"/>
  <c r="DV34" i="1"/>
  <c r="DU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D34" i="1"/>
  <c r="DA34" i="1"/>
  <c r="CV34" i="1"/>
  <c r="CU34" i="1"/>
  <c r="DT34" i="1" s="1"/>
  <c r="CF34" i="1"/>
  <c r="CD34" i="1" s="1"/>
  <c r="BZ34" i="1"/>
  <c r="BY34" i="1"/>
  <c r="BX34" i="1"/>
  <c r="BW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F34" i="1"/>
  <c r="BC34" i="1"/>
  <c r="AX34" i="1"/>
  <c r="AW34" i="1"/>
  <c r="BV34" i="1" s="1"/>
  <c r="AH34" i="1"/>
  <c r="AD34" i="1"/>
  <c r="Y34" i="1"/>
  <c r="Y39" i="1" s="1"/>
  <c r="Y144" i="1" s="1"/>
  <c r="I34" i="1"/>
  <c r="G34" i="1" s="1"/>
  <c r="EB34" i="1" s="1"/>
  <c r="DZ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D33" i="1"/>
  <c r="CF33" i="1"/>
  <c r="DE33" i="1" s="1"/>
  <c r="CB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F33" i="1"/>
  <c r="AH33" i="1"/>
  <c r="AF33" i="1" s="1"/>
  <c r="Y33" i="1"/>
  <c r="I33" i="1"/>
  <c r="G33" i="1"/>
  <c r="EB33" i="1" s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D32" i="1"/>
  <c r="DA32" i="1"/>
  <c r="CF32" i="1"/>
  <c r="CD32" i="1" s="1"/>
  <c r="BZ32" i="1"/>
  <c r="BY32" i="1"/>
  <c r="BX32" i="1"/>
  <c r="BW32" i="1"/>
  <c r="BV32" i="1"/>
  <c r="BU32" i="1"/>
  <c r="BT32" i="1"/>
  <c r="BS32" i="1"/>
  <c r="BR32" i="1"/>
  <c r="BQ32" i="1"/>
  <c r="BP32" i="1"/>
  <c r="BO32" i="1"/>
  <c r="BN32" i="1"/>
  <c r="BM32" i="1"/>
  <c r="BL32" i="1"/>
  <c r="BK32" i="1"/>
  <c r="BJ32" i="1"/>
  <c r="BI32" i="1"/>
  <c r="BH32" i="1"/>
  <c r="BF32" i="1"/>
  <c r="BC32" i="1"/>
  <c r="AH32" i="1"/>
  <c r="BG32" i="1" s="1"/>
  <c r="AF32" i="1"/>
  <c r="AD32" i="1"/>
  <c r="DZ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CD31" i="1"/>
  <c r="CB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F31" i="1"/>
  <c r="AH31" i="1"/>
  <c r="BG31" i="1" s="1"/>
  <c r="AF31" i="1"/>
  <c r="G31" i="1"/>
  <c r="EB31" i="1" s="1"/>
  <c r="DZ30" i="1"/>
  <c r="DX30" i="1"/>
  <c r="DW30" i="1"/>
  <c r="DV30" i="1"/>
  <c r="DU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D30" i="1"/>
  <c r="DC30" i="1" s="1"/>
  <c r="CU30" i="1"/>
  <c r="DT30" i="1" s="1"/>
  <c r="CF30" i="1"/>
  <c r="DE30" i="1" s="1"/>
  <c r="CD30" i="1"/>
  <c r="CB30" i="1"/>
  <c r="BZ30" i="1"/>
  <c r="BY30" i="1"/>
  <c r="BX30" i="1"/>
  <c r="BW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F30" i="1"/>
  <c r="BD30" i="1"/>
  <c r="AW30" i="1"/>
  <c r="BV30" i="1" s="1"/>
  <c r="AH30" i="1"/>
  <c r="AF30" i="1" s="1"/>
  <c r="G30" i="1"/>
  <c r="EB30" i="1" s="1"/>
  <c r="EB29" i="1"/>
  <c r="DZ29" i="1"/>
  <c r="DX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C29" i="1" s="1"/>
  <c r="ED29" i="1" s="1"/>
  <c r="DI29" i="1"/>
  <c r="DH29" i="1"/>
  <c r="DG29" i="1"/>
  <c r="DF29" i="1"/>
  <c r="DE29" i="1"/>
  <c r="DD29" i="1"/>
  <c r="DB29" i="1"/>
  <c r="CD29" i="1"/>
  <c r="CC29" i="1"/>
  <c r="CB29" i="1"/>
  <c r="BZ29" i="1"/>
  <c r="BY29" i="1"/>
  <c r="BX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 s="1"/>
  <c r="EC29" i="1" s="1"/>
  <c r="AF29" i="1"/>
  <c r="AE29" i="1" s="1"/>
  <c r="BD29" i="1" s="1"/>
  <c r="G29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D28" i="1"/>
  <c r="DA28" i="1"/>
  <c r="CF28" i="1"/>
  <c r="CD28" i="1" s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F28" i="1"/>
  <c r="BC28" i="1"/>
  <c r="CB28" i="1" s="1"/>
  <c r="AH28" i="1"/>
  <c r="AF28" i="1"/>
  <c r="AD28" i="1"/>
  <c r="DZ28" i="1" s="1"/>
  <c r="I28" i="1"/>
  <c r="G28" i="1" s="1"/>
  <c r="EB28" i="1" s="1"/>
  <c r="DZ27" i="1"/>
  <c r="DX27" i="1"/>
  <c r="DW27" i="1"/>
  <c r="DV27" i="1"/>
  <c r="DU27" i="1"/>
  <c r="DT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CD27" i="1"/>
  <c r="BZ27" i="1"/>
  <c r="BY27" i="1"/>
  <c r="BX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I27" i="1"/>
  <c r="BH27" i="1"/>
  <c r="BG27" i="1"/>
  <c r="BF27" i="1"/>
  <c r="AF27" i="1"/>
  <c r="AD27" i="1"/>
  <c r="G27" i="1" s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D26" i="1"/>
  <c r="CF26" i="1"/>
  <c r="DA26" i="1" s="1"/>
  <c r="CD26" i="1" s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C26" i="1"/>
  <c r="AH26" i="1"/>
  <c r="AF26" i="1" s="1"/>
  <c r="AD26" i="1"/>
  <c r="I26" i="1"/>
  <c r="DZ25" i="1"/>
  <c r="DX25" i="1"/>
  <c r="DW25" i="1"/>
  <c r="DV25" i="1"/>
  <c r="DU25" i="1"/>
  <c r="DT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D25" i="1"/>
  <c r="CG25" i="1"/>
  <c r="DF25" i="1" s="1"/>
  <c r="CF25" i="1"/>
  <c r="DE25" i="1" s="1"/>
  <c r="CB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G25" i="1"/>
  <c r="BF25" i="1"/>
  <c r="AI25" i="1"/>
  <c r="BH25" i="1" s="1"/>
  <c r="AH25" i="1"/>
  <c r="G25" i="1"/>
  <c r="EB25" i="1" s="1"/>
  <c r="DZ24" i="1"/>
  <c r="DX24" i="1"/>
  <c r="DW24" i="1"/>
  <c r="DV24" i="1"/>
  <c r="DU24" i="1"/>
  <c r="DT24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D24" i="1"/>
  <c r="CF24" i="1"/>
  <c r="CD24" i="1" s="1"/>
  <c r="CB24" i="1"/>
  <c r="BZ24" i="1"/>
  <c r="BY24" i="1"/>
  <c r="BX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F24" i="1"/>
  <c r="AH24" i="1"/>
  <c r="BG24" i="1" s="1"/>
  <c r="AF24" i="1"/>
  <c r="G24" i="1"/>
  <c r="EB24" i="1" s="1"/>
  <c r="EB23" i="1"/>
  <c r="DZ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D23" i="1"/>
  <c r="CG23" i="1"/>
  <c r="DF23" i="1" s="1"/>
  <c r="CF23" i="1"/>
  <c r="DE23" i="1" s="1"/>
  <c r="CB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AI23" i="1"/>
  <c r="AH23" i="1"/>
  <c r="BG23" i="1" s="1"/>
  <c r="G23" i="1"/>
  <c r="DZ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E22" i="1"/>
  <c r="DD22" i="1"/>
  <c r="CG22" i="1"/>
  <c r="CF22" i="1"/>
  <c r="CB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F22" i="1"/>
  <c r="AI22" i="1"/>
  <c r="BH22" i="1" s="1"/>
  <c r="AH22" i="1"/>
  <c r="BG22" i="1" s="1"/>
  <c r="BE22" i="1" s="1"/>
  <c r="G22" i="1"/>
  <c r="EB22" i="1" s="1"/>
  <c r="EB21" i="1"/>
  <c r="DZ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D21" i="1"/>
  <c r="CG21" i="1"/>
  <c r="CF21" i="1"/>
  <c r="CD21" i="1" s="1"/>
  <c r="CB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G21" i="1"/>
  <c r="BF21" i="1"/>
  <c r="AI21" i="1"/>
  <c r="AH21" i="1"/>
  <c r="G21" i="1"/>
  <c r="DZ20" i="1"/>
  <c r="DX20" i="1"/>
  <c r="DW20" i="1"/>
  <c r="DV20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CU20" i="1"/>
  <c r="BZ20" i="1"/>
  <c r="BY20" i="1"/>
  <c r="BX20" i="1"/>
  <c r="BW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C20" i="1"/>
  <c r="CB20" i="1" s="1"/>
  <c r="AW20" i="1"/>
  <c r="BV20" i="1" s="1"/>
  <c r="AF20" i="1"/>
  <c r="G20" i="1"/>
  <c r="DZ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CD19" i="1"/>
  <c r="CB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AF19" i="1"/>
  <c r="G19" i="1"/>
  <c r="EB18" i="1"/>
  <c r="DZ18" i="1"/>
  <c r="DX18" i="1"/>
  <c r="DW18" i="1"/>
  <c r="DV18" i="1"/>
  <c r="DU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CU18" i="1"/>
  <c r="CD18" i="1" s="1"/>
  <c r="CC18" i="1" s="1"/>
  <c r="DB18" i="1" s="1"/>
  <c r="CB18" i="1"/>
  <c r="BZ18" i="1"/>
  <c r="BY18" i="1"/>
  <c r="BX18" i="1"/>
  <c r="BW18" i="1"/>
  <c r="BU18" i="1"/>
  <c r="BT18" i="1"/>
  <c r="BS18" i="1"/>
  <c r="BR18" i="1"/>
  <c r="BQ18" i="1"/>
  <c r="BQ149" i="1" s="1"/>
  <c r="BP18" i="1"/>
  <c r="BO18" i="1"/>
  <c r="BN18" i="1"/>
  <c r="BM18" i="1"/>
  <c r="BL18" i="1"/>
  <c r="BK18" i="1"/>
  <c r="BJ18" i="1"/>
  <c r="BI18" i="1"/>
  <c r="BH18" i="1"/>
  <c r="BG18" i="1"/>
  <c r="BF18" i="1"/>
  <c r="AW18" i="1"/>
  <c r="AF18" i="1"/>
  <c r="AE18" i="1"/>
  <c r="BD18" i="1" s="1"/>
  <c r="G18" i="1"/>
  <c r="DX17" i="1"/>
  <c r="DW17" i="1"/>
  <c r="DV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D17" i="1"/>
  <c r="DA17" i="1"/>
  <c r="CV17" i="1"/>
  <c r="DU17" i="1" s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C17" i="1"/>
  <c r="AX17" i="1"/>
  <c r="AX149" i="1" s="1"/>
  <c r="AH17" i="1"/>
  <c r="AD17" i="1"/>
  <c r="G17" i="1"/>
  <c r="EB17" i="1" s="1"/>
  <c r="DG16" i="1"/>
  <c r="DC16" i="1"/>
  <c r="CD16" i="1"/>
  <c r="ED16" i="1" s="1"/>
  <c r="CC16" i="1"/>
  <c r="DB16" i="1" s="1"/>
  <c r="BD16" i="1"/>
  <c r="AJ16" i="1"/>
  <c r="BI16" i="1" s="1"/>
  <c r="BE16" i="1" s="1"/>
  <c r="G16" i="1"/>
  <c r="EB16" i="1" s="1"/>
  <c r="DZ15" i="1"/>
  <c r="DX15" i="1"/>
  <c r="DW15" i="1"/>
  <c r="DV15" i="1"/>
  <c r="DU15" i="1"/>
  <c r="DT15" i="1"/>
  <c r="DS15" i="1"/>
  <c r="DS149" i="1" s="1"/>
  <c r="DR15" i="1"/>
  <c r="DQ15" i="1"/>
  <c r="DP15" i="1"/>
  <c r="DO15" i="1"/>
  <c r="DN15" i="1"/>
  <c r="DM15" i="1"/>
  <c r="DL15" i="1"/>
  <c r="DL149" i="1" s="1"/>
  <c r="DK15" i="1"/>
  <c r="DK149" i="1" s="1"/>
  <c r="DJ15" i="1"/>
  <c r="DI15" i="1"/>
  <c r="DH15" i="1"/>
  <c r="DG15" i="1"/>
  <c r="DF15" i="1"/>
  <c r="DD15" i="1"/>
  <c r="DD149" i="1" s="1"/>
  <c r="CF15" i="1"/>
  <c r="CB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F15" i="1"/>
  <c r="AH15" i="1"/>
  <c r="BG15" i="1" s="1"/>
  <c r="G15" i="1"/>
  <c r="EB15" i="1" s="1"/>
  <c r="CH14" i="1"/>
  <c r="CD14" i="1"/>
  <c r="BI14" i="1"/>
  <c r="AJ14" i="1"/>
  <c r="AF14" i="1"/>
  <c r="AE14" i="1" s="1"/>
  <c r="BD14" i="1" s="1"/>
  <c r="G14" i="1"/>
  <c r="DZ13" i="1"/>
  <c r="DX13" i="1"/>
  <c r="DW13" i="1"/>
  <c r="DV13" i="1"/>
  <c r="DU13" i="1"/>
  <c r="DS13" i="1"/>
  <c r="DR13" i="1"/>
  <c r="DQ13" i="1"/>
  <c r="DP13" i="1"/>
  <c r="DO13" i="1"/>
  <c r="DN13" i="1"/>
  <c r="DM13" i="1"/>
  <c r="DL13" i="1"/>
  <c r="DK13" i="1"/>
  <c r="DJ13" i="1"/>
  <c r="DI13" i="1"/>
  <c r="DH13" i="1"/>
  <c r="DG13" i="1"/>
  <c r="DF13" i="1"/>
  <c r="DE13" i="1"/>
  <c r="DD13" i="1"/>
  <c r="CD13" i="1"/>
  <c r="CB13" i="1"/>
  <c r="BZ13" i="1"/>
  <c r="BY13" i="1"/>
  <c r="BX13" i="1"/>
  <c r="BW13" i="1"/>
  <c r="BU13" i="1"/>
  <c r="BT13" i="1"/>
  <c r="BS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AF13" i="1"/>
  <c r="X13" i="1"/>
  <c r="DZ12" i="1"/>
  <c r="DX12" i="1"/>
  <c r="DW12" i="1"/>
  <c r="DV12" i="1"/>
  <c r="DU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CU12" i="1"/>
  <c r="DT12" i="1" s="1"/>
  <c r="CB12" i="1"/>
  <c r="BZ12" i="1"/>
  <c r="BY12" i="1"/>
  <c r="BX12" i="1"/>
  <c r="BW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AW12" i="1"/>
  <c r="G12" i="1"/>
  <c r="EB12" i="1" s="1"/>
  <c r="EB11" i="1"/>
  <c r="DZ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CZ11" i="1"/>
  <c r="CB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B11" i="1"/>
  <c r="AF11" i="1" s="1"/>
  <c r="G11" i="1"/>
  <c r="DY10" i="1"/>
  <c r="DX10" i="1"/>
  <c r="DW10" i="1"/>
  <c r="DV10" i="1"/>
  <c r="DU10" i="1"/>
  <c r="DS10" i="1"/>
  <c r="DR10" i="1"/>
  <c r="DQ10" i="1"/>
  <c r="DP10" i="1"/>
  <c r="DO10" i="1"/>
  <c r="DN10" i="1"/>
  <c r="DL10" i="1"/>
  <c r="DK10" i="1"/>
  <c r="DJ10" i="1"/>
  <c r="DI10" i="1"/>
  <c r="DH10" i="1"/>
  <c r="DG10" i="1"/>
  <c r="DF10" i="1"/>
  <c r="DE10" i="1"/>
  <c r="DD10" i="1"/>
  <c r="DA10" i="1"/>
  <c r="CU10" i="1"/>
  <c r="DT10" i="1" s="1"/>
  <c r="CN10" i="1"/>
  <c r="CA10" i="1"/>
  <c r="BZ10" i="1"/>
  <c r="BY10" i="1"/>
  <c r="BX10" i="1"/>
  <c r="BW10" i="1"/>
  <c r="BU10" i="1"/>
  <c r="BT10" i="1"/>
  <c r="BS10" i="1"/>
  <c r="BR10" i="1"/>
  <c r="BQ10" i="1"/>
  <c r="BP10" i="1"/>
  <c r="BN10" i="1"/>
  <c r="BM10" i="1"/>
  <c r="BL10" i="1"/>
  <c r="BK10" i="1"/>
  <c r="BJ10" i="1"/>
  <c r="BI10" i="1"/>
  <c r="BH10" i="1"/>
  <c r="BG10" i="1"/>
  <c r="BF10" i="1"/>
  <c r="BC10" i="1"/>
  <c r="AW10" i="1"/>
  <c r="BV10" i="1" s="1"/>
  <c r="AP10" i="1"/>
  <c r="AP151" i="1" s="1"/>
  <c r="AD10" i="1"/>
  <c r="G10" i="1"/>
  <c r="DZ9" i="1"/>
  <c r="DX9" i="1"/>
  <c r="DW9" i="1"/>
  <c r="DV9" i="1"/>
  <c r="DU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E9" i="1"/>
  <c r="DD9" i="1"/>
  <c r="CU9" i="1"/>
  <c r="DT9" i="1" s="1"/>
  <c r="DC9" i="1" s="1"/>
  <c r="CD9" i="1"/>
  <c r="CC9" i="1" s="1"/>
  <c r="DB9" i="1" s="1"/>
  <c r="BW9" i="1"/>
  <c r="AW9" i="1"/>
  <c r="AF9" i="1" s="1"/>
  <c r="AE9" i="1" s="1"/>
  <c r="BD9" i="1" s="1"/>
  <c r="G9" i="1"/>
  <c r="EB9" i="1" s="1"/>
  <c r="DZ8" i="1"/>
  <c r="DX8" i="1"/>
  <c r="DW8" i="1"/>
  <c r="DV8" i="1"/>
  <c r="DU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/>
  <c r="DD8" i="1"/>
  <c r="CU8" i="1"/>
  <c r="CD8" i="1" s="1"/>
  <c r="CC8" i="1" s="1"/>
  <c r="DB8" i="1" s="1"/>
  <c r="CB8" i="1"/>
  <c r="BZ8" i="1"/>
  <c r="BY8" i="1"/>
  <c r="BX8" i="1"/>
  <c r="BW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BG8" i="1"/>
  <c r="BF8" i="1"/>
  <c r="AW8" i="1"/>
  <c r="BV8" i="1" s="1"/>
  <c r="BE8" i="1" s="1"/>
  <c r="EC8" i="1" s="1"/>
  <c r="AF8" i="1"/>
  <c r="AE8" i="1"/>
  <c r="BD8" i="1" s="1"/>
  <c r="G8" i="1"/>
  <c r="EB8" i="1" s="1"/>
  <c r="DZ7" i="1"/>
  <c r="DX7" i="1"/>
  <c r="DW7" i="1"/>
  <c r="DV7" i="1"/>
  <c r="DU7" i="1"/>
  <c r="DU39" i="1" s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CU7" i="1"/>
  <c r="CD7" i="1" s="1"/>
  <c r="CB7" i="1"/>
  <c r="BZ7" i="1"/>
  <c r="BY7" i="1"/>
  <c r="BX7" i="1"/>
  <c r="BW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BG7" i="1"/>
  <c r="BF7" i="1"/>
  <c r="AW7" i="1"/>
  <c r="BV7" i="1" s="1"/>
  <c r="G7" i="1"/>
  <c r="EB7" i="1" s="1"/>
  <c r="EB6" i="1"/>
  <c r="DZ6" i="1"/>
  <c r="DX6" i="1"/>
  <c r="DW6" i="1"/>
  <c r="DV6" i="1"/>
  <c r="DU6" i="1"/>
  <c r="DS6" i="1"/>
  <c r="DR6" i="1"/>
  <c r="DQ6" i="1"/>
  <c r="DP6" i="1"/>
  <c r="DO6" i="1"/>
  <c r="DN6" i="1"/>
  <c r="DM6" i="1"/>
  <c r="DL6" i="1"/>
  <c r="DK6" i="1"/>
  <c r="DJ6" i="1"/>
  <c r="DI6" i="1"/>
  <c r="DH6" i="1"/>
  <c r="DG6" i="1"/>
  <c r="DF6" i="1"/>
  <c r="DE6" i="1"/>
  <c r="DD6" i="1"/>
  <c r="CU6" i="1"/>
  <c r="DT6" i="1" s="1"/>
  <c r="CD6" i="1"/>
  <c r="CC6" i="1"/>
  <c r="DB6" i="1" s="1"/>
  <c r="CB6" i="1"/>
  <c r="BZ6" i="1"/>
  <c r="BZ39" i="1" s="1"/>
  <c r="BY6" i="1"/>
  <c r="BX6" i="1"/>
  <c r="BW6" i="1"/>
  <c r="BU6" i="1"/>
  <c r="BT6" i="1"/>
  <c r="BS6" i="1"/>
  <c r="BR6" i="1"/>
  <c r="BQ6" i="1"/>
  <c r="BP6" i="1"/>
  <c r="BO6" i="1"/>
  <c r="BN6" i="1"/>
  <c r="BM6" i="1"/>
  <c r="BL6" i="1"/>
  <c r="BK6" i="1"/>
  <c r="BJ6" i="1"/>
  <c r="BH6" i="1"/>
  <c r="BG6" i="1"/>
  <c r="BF6" i="1"/>
  <c r="AW6" i="1"/>
  <c r="BV6" i="1" s="1"/>
  <c r="AF6" i="1"/>
  <c r="G6" i="1"/>
  <c r="DZ5" i="1"/>
  <c r="DX5" i="1"/>
  <c r="DW5" i="1"/>
  <c r="DV5" i="1"/>
  <c r="DU5" i="1"/>
  <c r="DS5" i="1"/>
  <c r="DR5" i="1"/>
  <c r="DQ5" i="1"/>
  <c r="DP5" i="1"/>
  <c r="DO5" i="1"/>
  <c r="DN5" i="1"/>
  <c r="DM5" i="1"/>
  <c r="DL5" i="1"/>
  <c r="DK5" i="1"/>
  <c r="DJ5" i="1"/>
  <c r="DI5" i="1"/>
  <c r="DH5" i="1"/>
  <c r="DG5" i="1"/>
  <c r="DF5" i="1"/>
  <c r="DE5" i="1"/>
  <c r="DD5" i="1"/>
  <c r="CU5" i="1"/>
  <c r="DT5" i="1" s="1"/>
  <c r="CD5" i="1"/>
  <c r="CB5" i="1"/>
  <c r="BZ5" i="1"/>
  <c r="BY5" i="1"/>
  <c r="BY39" i="1" s="1"/>
  <c r="BX5" i="1"/>
  <c r="BW5" i="1"/>
  <c r="BU5" i="1"/>
  <c r="BT5" i="1"/>
  <c r="BS5" i="1"/>
  <c r="BR5" i="1"/>
  <c r="BQ5" i="1"/>
  <c r="BP5" i="1"/>
  <c r="BO5" i="1"/>
  <c r="BN5" i="1"/>
  <c r="BM5" i="1"/>
  <c r="BL5" i="1"/>
  <c r="BK5" i="1"/>
  <c r="BJ5" i="1"/>
  <c r="BH5" i="1"/>
  <c r="BG5" i="1"/>
  <c r="BF5" i="1"/>
  <c r="AW5" i="1"/>
  <c r="BV5" i="1" s="1"/>
  <c r="G5" i="1"/>
  <c r="EB5" i="1" s="1"/>
  <c r="DX4" i="1"/>
  <c r="DW4" i="1"/>
  <c r="DV4" i="1"/>
  <c r="DU4" i="1"/>
  <c r="DS4" i="1"/>
  <c r="DR4" i="1"/>
  <c r="DQ4" i="1"/>
  <c r="DP4" i="1"/>
  <c r="DO4" i="1"/>
  <c r="DN4" i="1"/>
  <c r="DM4" i="1"/>
  <c r="DL4" i="1"/>
  <c r="DK4" i="1"/>
  <c r="DJ4" i="1"/>
  <c r="DI4" i="1"/>
  <c r="DH4" i="1"/>
  <c r="DH39" i="1" s="1"/>
  <c r="DG4" i="1"/>
  <c r="DF4" i="1"/>
  <c r="DE4" i="1"/>
  <c r="DD4" i="1"/>
  <c r="DA4" i="1"/>
  <c r="CU4" i="1"/>
  <c r="CD4" i="1" s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M4" i="1"/>
  <c r="BL4" i="1"/>
  <c r="BK4" i="1"/>
  <c r="BJ4" i="1"/>
  <c r="BH4" i="1"/>
  <c r="BG4" i="1"/>
  <c r="BF4" i="1"/>
  <c r="BC4" i="1"/>
  <c r="BC39" i="1" s="1"/>
  <c r="AW4" i="1"/>
  <c r="AD4" i="1"/>
  <c r="G4" i="1"/>
  <c r="EB128" i="2" l="1"/>
  <c r="EI128" i="2"/>
  <c r="EB108" i="2"/>
  <c r="EI108" i="2"/>
  <c r="EB96" i="2"/>
  <c r="EI96" i="2"/>
  <c r="BN64" i="2"/>
  <c r="CC66" i="2"/>
  <c r="DB66" i="2" s="1"/>
  <c r="EJ66" i="2"/>
  <c r="EB83" i="2"/>
  <c r="EI83" i="2"/>
  <c r="EB87" i="2"/>
  <c r="EI87" i="2"/>
  <c r="EB98" i="2"/>
  <c r="EI98" i="2"/>
  <c r="EB115" i="2"/>
  <c r="EI115" i="2"/>
  <c r="EB129" i="2"/>
  <c r="EI129" i="2"/>
  <c r="CF18" i="2"/>
  <c r="DE18" i="2" s="1"/>
  <c r="AF22" i="2"/>
  <c r="CD22" i="2"/>
  <c r="DW148" i="2"/>
  <c r="CD42" i="2"/>
  <c r="EJ42" i="2" s="1"/>
  <c r="DV76" i="2"/>
  <c r="BQ76" i="2"/>
  <c r="AF83" i="2"/>
  <c r="CD86" i="2"/>
  <c r="EJ86" i="2" s="1"/>
  <c r="DZ91" i="2"/>
  <c r="AF103" i="2"/>
  <c r="BH122" i="2"/>
  <c r="EB107" i="2"/>
  <c r="EI107" i="2"/>
  <c r="CB110" i="2"/>
  <c r="EB119" i="2"/>
  <c r="EI119" i="2"/>
  <c r="BO125" i="2"/>
  <c r="O148" i="2"/>
  <c r="BT126" i="2"/>
  <c r="BS129" i="2"/>
  <c r="BS148" i="2" s="1"/>
  <c r="CD134" i="2"/>
  <c r="EJ134" i="2" s="1"/>
  <c r="AF135" i="2"/>
  <c r="G97" i="2"/>
  <c r="BF108" i="2"/>
  <c r="BN122" i="2"/>
  <c r="DF122" i="2"/>
  <c r="CC114" i="2"/>
  <c r="DB114" i="2" s="1"/>
  <c r="EJ114" i="2"/>
  <c r="CD121" i="2"/>
  <c r="I122" i="2"/>
  <c r="EB132" i="2"/>
  <c r="EI132" i="2"/>
  <c r="CC138" i="2"/>
  <c r="DB138" i="2" s="1"/>
  <c r="EB138" i="2"/>
  <c r="EB139" i="2"/>
  <c r="CD140" i="2"/>
  <c r="EJ140" i="2" s="1"/>
  <c r="CB141" i="2"/>
  <c r="EB141" i="2"/>
  <c r="DD148" i="2"/>
  <c r="DV66" i="2"/>
  <c r="AE71" i="2"/>
  <c r="BD71" i="2" s="1"/>
  <c r="DK73" i="2"/>
  <c r="DV74" i="2"/>
  <c r="DC74" i="2" s="1"/>
  <c r="ED74" i="2" s="1"/>
  <c r="DO76" i="2"/>
  <c r="EB131" i="2"/>
  <c r="EI131" i="2"/>
  <c r="EB140" i="2"/>
  <c r="EI140" i="2"/>
  <c r="CB35" i="2"/>
  <c r="DK51" i="2"/>
  <c r="CC106" i="2"/>
  <c r="DB106" i="2" s="1"/>
  <c r="EI106" i="2"/>
  <c r="BV10" i="2"/>
  <c r="AE16" i="2"/>
  <c r="BD16" i="2" s="1"/>
  <c r="BG27" i="2"/>
  <c r="AV148" i="2"/>
  <c r="BX42" i="2"/>
  <c r="DK44" i="2"/>
  <c r="CD49" i="2"/>
  <c r="EJ49" i="2" s="1"/>
  <c r="BM51" i="2"/>
  <c r="BE51" i="2" s="1"/>
  <c r="BV85" i="2"/>
  <c r="EB90" i="2"/>
  <c r="EI90" i="2"/>
  <c r="EB92" i="2"/>
  <c r="EI92" i="2"/>
  <c r="BV94" i="2"/>
  <c r="CD96" i="2"/>
  <c r="EJ96" i="2" s="1"/>
  <c r="BV97" i="2"/>
  <c r="BE97" i="2" s="1"/>
  <c r="Z105" i="2"/>
  <c r="AF106" i="2"/>
  <c r="BX111" i="2"/>
  <c r="G112" i="2"/>
  <c r="EB113" i="2"/>
  <c r="EI113" i="2"/>
  <c r="CD113" i="2"/>
  <c r="EJ113" i="2" s="1"/>
  <c r="BW125" i="2"/>
  <c r="BO127" i="2"/>
  <c r="AF129" i="2"/>
  <c r="EB133" i="2"/>
  <c r="EI133" i="2"/>
  <c r="EB137" i="2"/>
  <c r="EI137" i="2"/>
  <c r="U143" i="2"/>
  <c r="CB47" i="2"/>
  <c r="BE48" i="2"/>
  <c r="DV79" i="2"/>
  <c r="CC71" i="2"/>
  <c r="DB71" i="2" s="1"/>
  <c r="EJ71" i="2"/>
  <c r="EB114" i="2"/>
  <c r="EI114" i="2"/>
  <c r="CC70" i="2"/>
  <c r="DB70" i="2" s="1"/>
  <c r="EJ70" i="2"/>
  <c r="EB109" i="2"/>
  <c r="EI109" i="2"/>
  <c r="CB5" i="2"/>
  <c r="DZ28" i="2"/>
  <c r="P148" i="2"/>
  <c r="AF49" i="2"/>
  <c r="CB51" i="2"/>
  <c r="DQ61" i="2"/>
  <c r="DQ81" i="2" s="1"/>
  <c r="CB76" i="2"/>
  <c r="BZ153" i="2"/>
  <c r="BE88" i="2"/>
  <c r="AE92" i="2"/>
  <c r="BD92" i="2" s="1"/>
  <c r="DC92" i="2"/>
  <c r="CC100" i="2"/>
  <c r="DB100" i="2" s="1"/>
  <c r="EJ100" i="2"/>
  <c r="EB116" i="2"/>
  <c r="EI116" i="2"/>
  <c r="EB120" i="2"/>
  <c r="EI120" i="2"/>
  <c r="EB135" i="2"/>
  <c r="DZ43" i="2"/>
  <c r="DZ47" i="2"/>
  <c r="CB43" i="2"/>
  <c r="CD33" i="2"/>
  <c r="EB88" i="2"/>
  <c r="EI88" i="2"/>
  <c r="EB94" i="2"/>
  <c r="EI94" i="2"/>
  <c r="EB99" i="2"/>
  <c r="EI99" i="2"/>
  <c r="EB121" i="2"/>
  <c r="EI121" i="2"/>
  <c r="BV147" i="2"/>
  <c r="W81" i="2"/>
  <c r="DW109" i="2"/>
  <c r="DC109" i="2" s="1"/>
  <c r="ED109" i="2" s="1"/>
  <c r="BU147" i="2"/>
  <c r="CD47" i="2"/>
  <c r="EJ47" i="2" s="1"/>
  <c r="AE60" i="2"/>
  <c r="BD60" i="2" s="1"/>
  <c r="DZ61" i="2"/>
  <c r="DO72" i="2"/>
  <c r="CC75" i="2"/>
  <c r="DB75" i="2" s="1"/>
  <c r="EJ75" i="2"/>
  <c r="EB86" i="2"/>
  <c r="EB100" i="2"/>
  <c r="EI100" i="2"/>
  <c r="DL122" i="2"/>
  <c r="BY109" i="2"/>
  <c r="BE109" i="2" s="1"/>
  <c r="EC109" i="2" s="1"/>
  <c r="CC115" i="2"/>
  <c r="DB115" i="2" s="1"/>
  <c r="AF116" i="2"/>
  <c r="CC118" i="2"/>
  <c r="DB118" i="2" s="1"/>
  <c r="EJ118" i="2"/>
  <c r="AF120" i="2"/>
  <c r="DC131" i="2"/>
  <c r="EB134" i="2"/>
  <c r="EB136" i="2"/>
  <c r="EI136" i="2"/>
  <c r="BE138" i="2"/>
  <c r="EC138" i="2" s="1"/>
  <c r="AE133" i="2"/>
  <c r="BD133" i="2" s="1"/>
  <c r="AE139" i="2"/>
  <c r="BD139" i="2" s="1"/>
  <c r="DC139" i="2"/>
  <c r="CC131" i="2"/>
  <c r="DB131" i="2" s="1"/>
  <c r="DC135" i="2"/>
  <c r="AE132" i="2"/>
  <c r="BD132" i="2" s="1"/>
  <c r="CC134" i="2"/>
  <c r="DB134" i="2" s="1"/>
  <c r="AE135" i="2"/>
  <c r="BD135" i="2" s="1"/>
  <c r="BK148" i="2"/>
  <c r="DG143" i="2"/>
  <c r="BF148" i="2"/>
  <c r="BL147" i="2"/>
  <c r="BZ147" i="2"/>
  <c r="DE147" i="2"/>
  <c r="DO143" i="2"/>
  <c r="DW143" i="2"/>
  <c r="BX147" i="2"/>
  <c r="DP147" i="2"/>
  <c r="AE131" i="2"/>
  <c r="BD131" i="2" s="1"/>
  <c r="DT147" i="2"/>
  <c r="AE138" i="2"/>
  <c r="BD138" i="2" s="1"/>
  <c r="BP122" i="2"/>
  <c r="DP122" i="2"/>
  <c r="EB106" i="2"/>
  <c r="CC112" i="2"/>
  <c r="DB112" i="2" s="1"/>
  <c r="DC113" i="2"/>
  <c r="AK145" i="2"/>
  <c r="AE115" i="2"/>
  <c r="BD115" i="2" s="1"/>
  <c r="AE116" i="2"/>
  <c r="BD116" i="2" s="1"/>
  <c r="DO122" i="2"/>
  <c r="N145" i="2"/>
  <c r="AE114" i="2"/>
  <c r="BD114" i="2" s="1"/>
  <c r="BM105" i="2"/>
  <c r="DJ105" i="2"/>
  <c r="DR105" i="2"/>
  <c r="CC90" i="2"/>
  <c r="DB90" i="2" s="1"/>
  <c r="CC92" i="2"/>
  <c r="DB92" i="2" s="1"/>
  <c r="CI145" i="2"/>
  <c r="DH105" i="2"/>
  <c r="DX105" i="2"/>
  <c r="CC86" i="2"/>
  <c r="DB86" i="2" s="1"/>
  <c r="DC100" i="2"/>
  <c r="ED100" i="2" s="1"/>
  <c r="DL105" i="2"/>
  <c r="DP105" i="2"/>
  <c r="AE83" i="2"/>
  <c r="BD83" i="2" s="1"/>
  <c r="CC85" i="2"/>
  <c r="DB85" i="2" s="1"/>
  <c r="CC94" i="2"/>
  <c r="DB94" i="2" s="1"/>
  <c r="BE68" i="2"/>
  <c r="EB58" i="2"/>
  <c r="BE75" i="2"/>
  <c r="BE78" i="2"/>
  <c r="CC69" i="2"/>
  <c r="DB69" i="2" s="1"/>
  <c r="AE69" i="2"/>
  <c r="BD69" i="2" s="1"/>
  <c r="AE77" i="2"/>
  <c r="BD77" i="2" s="1"/>
  <c r="CC68" i="2"/>
  <c r="DB68" i="2" s="1"/>
  <c r="DC69" i="2"/>
  <c r="ED69" i="2" s="1"/>
  <c r="BE71" i="2"/>
  <c r="EC71" i="2" s="1"/>
  <c r="BE57" i="2"/>
  <c r="BE69" i="2"/>
  <c r="EC69" i="2" s="1"/>
  <c r="DC77" i="2"/>
  <c r="ED77" i="2" s="1"/>
  <c r="BE63" i="2"/>
  <c r="AE68" i="2"/>
  <c r="BD68" i="2" s="1"/>
  <c r="BE77" i="2"/>
  <c r="EC77" i="2" s="1"/>
  <c r="DC65" i="2"/>
  <c r="DC68" i="2"/>
  <c r="ED68" i="2" s="1"/>
  <c r="CC74" i="2"/>
  <c r="DB74" i="2" s="1"/>
  <c r="DC50" i="2"/>
  <c r="ED50" i="2" s="1"/>
  <c r="CC50" i="2"/>
  <c r="DB50" i="2" s="1"/>
  <c r="CC51" i="2"/>
  <c r="DB51" i="2" s="1"/>
  <c r="BE50" i="2"/>
  <c r="AE50" i="2"/>
  <c r="BD50" i="2" s="1"/>
  <c r="CK145" i="2"/>
  <c r="CC47" i="2"/>
  <c r="DB47" i="2" s="1"/>
  <c r="CI154" i="2"/>
  <c r="BJ81" i="2"/>
  <c r="DX81" i="2"/>
  <c r="K145" i="2"/>
  <c r="M145" i="2"/>
  <c r="AE38" i="2"/>
  <c r="BD38" i="2" s="1"/>
  <c r="BY40" i="2"/>
  <c r="DH150" i="2"/>
  <c r="DP150" i="2"/>
  <c r="DX150" i="2"/>
  <c r="DC23" i="2"/>
  <c r="DC22" i="2"/>
  <c r="ED22" i="2" s="1"/>
  <c r="EC15" i="2"/>
  <c r="BJ150" i="2"/>
  <c r="BR150" i="2"/>
  <c r="BZ150" i="2"/>
  <c r="CC17" i="2"/>
  <c r="DB17" i="2" s="1"/>
  <c r="CC22" i="2"/>
  <c r="DB22" i="2" s="1"/>
  <c r="AE30" i="2"/>
  <c r="BD30" i="2" s="1"/>
  <c r="AK154" i="2"/>
  <c r="AE9" i="2"/>
  <c r="BD9" i="2" s="1"/>
  <c r="BQ150" i="2"/>
  <c r="CC30" i="2"/>
  <c r="DB30" i="2" s="1"/>
  <c r="AE37" i="2"/>
  <c r="BD37" i="2" s="1"/>
  <c r="BE14" i="2"/>
  <c r="EC14" i="2" s="1"/>
  <c r="AE28" i="2"/>
  <c r="BD28" i="2" s="1"/>
  <c r="DC30" i="2"/>
  <c r="ED30" i="2" s="1"/>
  <c r="BY150" i="2"/>
  <c r="CC6" i="2"/>
  <c r="DB6" i="2" s="1"/>
  <c r="DR40" i="2"/>
  <c r="CC9" i="2"/>
  <c r="DB9" i="2" s="1"/>
  <c r="DL150" i="2"/>
  <c r="CT153" i="2"/>
  <c r="CD89" i="2"/>
  <c r="EJ89" i="2" s="1"/>
  <c r="CT105" i="2"/>
  <c r="CB11" i="2"/>
  <c r="CD11" i="2"/>
  <c r="CC11" i="2" s="1"/>
  <c r="DB11" i="2" s="1"/>
  <c r="DZ33" i="2"/>
  <c r="BG34" i="2"/>
  <c r="AF35" i="2"/>
  <c r="DG148" i="2"/>
  <c r="BX55" i="2"/>
  <c r="CD67" i="2"/>
  <c r="EJ67" i="2" s="1"/>
  <c r="BE85" i="2"/>
  <c r="EC85" i="2" s="1"/>
  <c r="BE86" i="2"/>
  <c r="CD93" i="2"/>
  <c r="EJ93" i="2" s="1"/>
  <c r="CH122" i="2"/>
  <c r="CH145" i="2" s="1"/>
  <c r="AX148" i="2"/>
  <c r="BE136" i="2"/>
  <c r="EC136" i="2" s="1"/>
  <c r="AX147" i="2"/>
  <c r="CD8" i="2"/>
  <c r="CC8" i="2" s="1"/>
  <c r="DB8" i="2" s="1"/>
  <c r="AF33" i="2"/>
  <c r="BV37" i="2"/>
  <c r="BE37" i="2" s="1"/>
  <c r="EC37" i="2" s="1"/>
  <c r="BM42" i="2"/>
  <c r="CD43" i="2"/>
  <c r="EJ43" i="2" s="1"/>
  <c r="AF66" i="2"/>
  <c r="AE66" i="2" s="1"/>
  <c r="BD66" i="2" s="1"/>
  <c r="DC66" i="2"/>
  <c r="ED66" i="2" s="1"/>
  <c r="BM76" i="2"/>
  <c r="CN81" i="2"/>
  <c r="CD84" i="2"/>
  <c r="AF86" i="2"/>
  <c r="CD91" i="2"/>
  <c r="EJ91" i="2" s="1"/>
  <c r="CV153" i="2"/>
  <c r="AF102" i="2"/>
  <c r="CD107" i="2"/>
  <c r="CB111" i="2"/>
  <c r="CB149" i="2" s="1"/>
  <c r="DI111" i="2"/>
  <c r="DI122" i="2" s="1"/>
  <c r="AF130" i="2"/>
  <c r="CD136" i="2"/>
  <c r="EJ136" i="2" s="1"/>
  <c r="AX40" i="2"/>
  <c r="BM54" i="2"/>
  <c r="BE54" i="2" s="1"/>
  <c r="EC54" i="2" s="1"/>
  <c r="DK42" i="2"/>
  <c r="BU73" i="2"/>
  <c r="BU151" i="2" s="1"/>
  <c r="BV148" i="2"/>
  <c r="CV105" i="2"/>
  <c r="DA122" i="2"/>
  <c r="DU137" i="2"/>
  <c r="DC137" i="2" s="1"/>
  <c r="ED137" i="2" s="1"/>
  <c r="BW18" i="2"/>
  <c r="BE27" i="2"/>
  <c r="EC27" i="2" s="1"/>
  <c r="DA27" i="2"/>
  <c r="CD27" i="2" s="1"/>
  <c r="BM36" i="2"/>
  <c r="BM148" i="2" s="1"/>
  <c r="AQ40" i="2"/>
  <c r="AO81" i="2"/>
  <c r="CF105" i="2"/>
  <c r="AF117" i="2"/>
  <c r="AE117" i="2" s="1"/>
  <c r="BD117" i="2" s="1"/>
  <c r="BE119" i="2"/>
  <c r="BF120" i="2"/>
  <c r="BE120" i="2" s="1"/>
  <c r="EC120" i="2" s="1"/>
  <c r="CD125" i="2"/>
  <c r="EJ125" i="2" s="1"/>
  <c r="DM127" i="2"/>
  <c r="BW137" i="2"/>
  <c r="BE137" i="2" s="1"/>
  <c r="EC137" i="2" s="1"/>
  <c r="BW64" i="2"/>
  <c r="BW81" i="2" s="1"/>
  <c r="DM67" i="2"/>
  <c r="DC67" i="2" s="1"/>
  <c r="BX87" i="2"/>
  <c r="DZ89" i="2"/>
  <c r="DD121" i="2"/>
  <c r="DC121" i="2" s="1"/>
  <c r="ED121" i="2" s="1"/>
  <c r="DK125" i="2"/>
  <c r="CD129" i="2"/>
  <c r="DU134" i="2"/>
  <c r="DC134" i="2" s="1"/>
  <c r="ED134" i="2" s="1"/>
  <c r="AY143" i="2"/>
  <c r="AF21" i="2"/>
  <c r="AE21" i="2" s="1"/>
  <c r="BD21" i="2" s="1"/>
  <c r="BN36" i="2"/>
  <c r="BN40" i="2" s="1"/>
  <c r="AF47" i="2"/>
  <c r="AE47" i="2" s="1"/>
  <c r="BD47" i="2" s="1"/>
  <c r="CD56" i="2"/>
  <c r="CB61" i="2"/>
  <c r="BE61" i="2" s="1"/>
  <c r="AF63" i="2"/>
  <c r="AE63" i="2" s="1"/>
  <c r="BD63" i="2" s="1"/>
  <c r="CD78" i="2"/>
  <c r="AF80" i="2"/>
  <c r="AE80" i="2" s="1"/>
  <c r="BD80" i="2" s="1"/>
  <c r="AP81" i="2"/>
  <c r="BG110" i="2"/>
  <c r="DS143" i="2"/>
  <c r="CB126" i="2"/>
  <c r="BE141" i="2"/>
  <c r="BI102" i="2"/>
  <c r="BI153" i="2" s="1"/>
  <c r="AF6" i="2"/>
  <c r="AE6" i="2" s="1"/>
  <c r="BD6" i="2" s="1"/>
  <c r="CD13" i="2"/>
  <c r="CC13" i="2" s="1"/>
  <c r="DB13" i="2" s="1"/>
  <c r="AF23" i="2"/>
  <c r="AF25" i="2"/>
  <c r="AE25" i="2" s="1"/>
  <c r="BD25" i="2" s="1"/>
  <c r="DZ35" i="2"/>
  <c r="BO148" i="2"/>
  <c r="DV44" i="2"/>
  <c r="DC51" i="2"/>
  <c r="ED51" i="2" s="1"/>
  <c r="AF56" i="2"/>
  <c r="AE56" i="2" s="1"/>
  <c r="BD56" i="2" s="1"/>
  <c r="AF57" i="2"/>
  <c r="AE57" i="2" s="1"/>
  <c r="BD57" i="2" s="1"/>
  <c r="CD57" i="2"/>
  <c r="BX58" i="2"/>
  <c r="BE58" i="2" s="1"/>
  <c r="EC58" i="2" s="1"/>
  <c r="BN67" i="2"/>
  <c r="AF70" i="2"/>
  <c r="DE82" i="2"/>
  <c r="DT88" i="2"/>
  <c r="DC88" i="2" s="1"/>
  <c r="ED88" i="2" s="1"/>
  <c r="CB89" i="2"/>
  <c r="DZ112" i="2"/>
  <c r="DC112" i="2" s="1"/>
  <c r="ED112" i="2" s="1"/>
  <c r="CM147" i="2"/>
  <c r="CM154" i="2" s="1"/>
  <c r="DR127" i="2"/>
  <c r="DR148" i="2" s="1"/>
  <c r="DY40" i="2"/>
  <c r="DC12" i="2"/>
  <c r="CB78" i="1"/>
  <c r="CV121" i="1"/>
  <c r="CD123" i="1"/>
  <c r="DC133" i="1"/>
  <c r="ED133" i="1" s="1"/>
  <c r="DC13" i="2"/>
  <c r="AF51" i="2"/>
  <c r="AE51" i="2" s="1"/>
  <c r="BD51" i="2" s="1"/>
  <c r="AF73" i="2"/>
  <c r="AE73" i="2" s="1"/>
  <c r="BD73" i="2" s="1"/>
  <c r="CD12" i="1"/>
  <c r="CC12" i="1" s="1"/>
  <c r="DB12" i="1" s="1"/>
  <c r="AE20" i="1"/>
  <c r="BD20" i="1" s="1"/>
  <c r="AF22" i="1"/>
  <c r="AE22" i="1" s="1"/>
  <c r="BD22" i="1" s="1"/>
  <c r="DC23" i="1"/>
  <c r="BE25" i="1"/>
  <c r="BW147" i="1"/>
  <c r="AE38" i="1"/>
  <c r="BD38" i="1" s="1"/>
  <c r="CD38" i="1"/>
  <c r="CC38" i="1" s="1"/>
  <c r="DB38" i="1" s="1"/>
  <c r="AF62" i="1"/>
  <c r="CD69" i="1"/>
  <c r="CC69" i="1" s="1"/>
  <c r="DB69" i="1" s="1"/>
  <c r="AF89" i="1"/>
  <c r="AE89" i="1" s="1"/>
  <c r="BD89" i="1" s="1"/>
  <c r="AF97" i="1"/>
  <c r="AE97" i="1" s="1"/>
  <c r="BD97" i="1" s="1"/>
  <c r="DT110" i="1"/>
  <c r="AF117" i="1"/>
  <c r="AE117" i="1" s="1"/>
  <c r="BD117" i="1" s="1"/>
  <c r="BE119" i="1"/>
  <c r="EC119" i="1" s="1"/>
  <c r="AF24" i="2"/>
  <c r="AE24" i="2" s="1"/>
  <c r="BD24" i="2" s="1"/>
  <c r="CD24" i="2"/>
  <c r="CC24" i="2" s="1"/>
  <c r="DB24" i="2" s="1"/>
  <c r="BU36" i="2"/>
  <c r="BU148" i="2" s="1"/>
  <c r="BE46" i="2"/>
  <c r="AV81" i="2"/>
  <c r="AF94" i="2"/>
  <c r="AE94" i="2" s="1"/>
  <c r="BD94" i="2" s="1"/>
  <c r="DD119" i="2"/>
  <c r="DC119" i="2" s="1"/>
  <c r="ED119" i="2" s="1"/>
  <c r="CJ122" i="2"/>
  <c r="CJ145" i="2" s="1"/>
  <c r="BI133" i="2"/>
  <c r="BE133" i="2" s="1"/>
  <c r="EC133" i="2" s="1"/>
  <c r="DT90" i="2"/>
  <c r="DC90" i="2" s="1"/>
  <c r="ED90" i="2" s="1"/>
  <c r="AW149" i="1"/>
  <c r="BI142" i="1"/>
  <c r="BE23" i="2"/>
  <c r="DC33" i="2"/>
  <c r="ED33" i="2" s="1"/>
  <c r="CB4" i="1"/>
  <c r="AF7" i="1"/>
  <c r="AE7" i="1" s="1"/>
  <c r="BD7" i="1" s="1"/>
  <c r="BV9" i="1"/>
  <c r="BO10" i="1"/>
  <c r="CD35" i="1"/>
  <c r="BX73" i="1"/>
  <c r="BE73" i="1" s="1"/>
  <c r="EC73" i="1" s="1"/>
  <c r="DY125" i="1"/>
  <c r="DY147" i="1" s="1"/>
  <c r="EC131" i="1"/>
  <c r="DT19" i="2"/>
  <c r="DC19" i="2" s="1"/>
  <c r="ED19" i="2" s="1"/>
  <c r="DC24" i="2"/>
  <c r="BG26" i="2"/>
  <c r="BE26" i="2" s="1"/>
  <c r="EC26" i="2" s="1"/>
  <c r="DE34" i="2"/>
  <c r="DC34" i="2" s="1"/>
  <c r="ED34" i="2" s="1"/>
  <c r="AV40" i="2"/>
  <c r="AF46" i="2"/>
  <c r="AE46" i="2" s="1"/>
  <c r="BD46" i="2" s="1"/>
  <c r="CB79" i="2"/>
  <c r="AF84" i="2"/>
  <c r="CU105" i="2"/>
  <c r="AF97" i="2"/>
  <c r="AE97" i="2" s="1"/>
  <c r="BD97" i="2" s="1"/>
  <c r="BY115" i="2"/>
  <c r="BE115" i="2" s="1"/>
  <c r="EC115" i="2" s="1"/>
  <c r="DR124" i="2"/>
  <c r="BW140" i="2"/>
  <c r="DC38" i="1"/>
  <c r="AF10" i="1"/>
  <c r="DC12" i="1"/>
  <c r="ED12" i="1" s="1"/>
  <c r="DT18" i="1"/>
  <c r="DT149" i="1" s="1"/>
  <c r="CD10" i="1"/>
  <c r="CC10" i="1" s="1"/>
  <c r="DB10" i="1" s="1"/>
  <c r="BV37" i="1"/>
  <c r="CO146" i="1"/>
  <c r="EC132" i="1"/>
  <c r="AI40" i="2"/>
  <c r="AI145" i="2" s="1"/>
  <c r="BE90" i="2"/>
  <c r="EC90" i="2" s="1"/>
  <c r="AX105" i="2"/>
  <c r="AF5" i="1"/>
  <c r="DC5" i="1"/>
  <c r="ED5" i="1" s="1"/>
  <c r="AF15" i="1"/>
  <c r="AE15" i="1" s="1"/>
  <c r="BD15" i="1" s="1"/>
  <c r="BC149" i="1"/>
  <c r="AF50" i="1"/>
  <c r="AE50" i="1" s="1"/>
  <c r="BD50" i="1" s="1"/>
  <c r="DT93" i="1"/>
  <c r="DT152" i="1" s="1"/>
  <c r="AF107" i="1"/>
  <c r="AE107" i="1" s="1"/>
  <c r="BD107" i="1" s="1"/>
  <c r="CD107" i="1"/>
  <c r="DT121" i="1"/>
  <c r="DQ124" i="1"/>
  <c r="DQ146" i="1" s="1"/>
  <c r="DQ142" i="1"/>
  <c r="AJ147" i="1"/>
  <c r="CR142" i="1"/>
  <c r="CR144" i="1" s="1"/>
  <c r="CR154" i="1" s="1"/>
  <c r="BO11" i="2"/>
  <c r="BE11" i="2" s="1"/>
  <c r="CG40" i="2"/>
  <c r="CG145" i="2" s="1"/>
  <c r="BE24" i="2"/>
  <c r="AX152" i="2"/>
  <c r="CV152" i="2"/>
  <c r="DS36" i="2"/>
  <c r="DS148" i="2" s="1"/>
  <c r="BV38" i="2"/>
  <c r="BE38" i="2" s="1"/>
  <c r="EC38" i="2" s="1"/>
  <c r="AQ147" i="2"/>
  <c r="DS147" i="2"/>
  <c r="BW127" i="2"/>
  <c r="BW148" i="2" s="1"/>
  <c r="BE135" i="2"/>
  <c r="EC135" i="2" s="1"/>
  <c r="CT143" i="2"/>
  <c r="BV9" i="2"/>
  <c r="BE9" i="2" s="1"/>
  <c r="EC9" i="2" s="1"/>
  <c r="BE37" i="1"/>
  <c r="EC37" i="1" s="1"/>
  <c r="BV38" i="1"/>
  <c r="BV151" i="1" s="1"/>
  <c r="BM65" i="2"/>
  <c r="BE65" i="2" s="1"/>
  <c r="EC65" i="2" s="1"/>
  <c r="BT127" i="2"/>
  <c r="CD127" i="2"/>
  <c r="EJ127" i="2" s="1"/>
  <c r="AF45" i="2"/>
  <c r="BY114" i="2"/>
  <c r="BE114" i="2" s="1"/>
  <c r="EC114" i="2" s="1"/>
  <c r="AX143" i="2"/>
  <c r="DC6" i="1"/>
  <c r="AE10" i="1"/>
  <c r="BD10" i="1" s="1"/>
  <c r="AF25" i="1"/>
  <c r="BG30" i="1"/>
  <c r="BE30" i="1" s="1"/>
  <c r="EC30" i="1" s="1"/>
  <c r="BI147" i="1"/>
  <c r="AF42" i="1"/>
  <c r="AE42" i="1" s="1"/>
  <c r="BD42" i="1" s="1"/>
  <c r="AY121" i="1"/>
  <c r="DC118" i="1"/>
  <c r="CD119" i="1"/>
  <c r="DS124" i="1"/>
  <c r="BG141" i="1"/>
  <c r="BG149" i="1" s="1"/>
  <c r="DC141" i="1"/>
  <c r="ED141" i="1" s="1"/>
  <c r="BV21" i="2"/>
  <c r="BE21" i="2" s="1"/>
  <c r="EC21" i="2" s="1"/>
  <c r="BG31" i="2"/>
  <c r="BE31" i="2" s="1"/>
  <c r="EC31" i="2" s="1"/>
  <c r="AP40" i="2"/>
  <c r="CL81" i="2"/>
  <c r="DV70" i="2"/>
  <c r="DC70" i="2" s="1"/>
  <c r="ED70" i="2" s="1"/>
  <c r="CD99" i="2"/>
  <c r="AF119" i="2"/>
  <c r="AE119" i="2" s="1"/>
  <c r="BD119" i="2" s="1"/>
  <c r="AF121" i="2"/>
  <c r="AE121" i="2" s="1"/>
  <c r="BD121" i="2" s="1"/>
  <c r="BS125" i="2"/>
  <c r="CB129" i="2"/>
  <c r="BE129" i="2" s="1"/>
  <c r="EC129" i="2" s="1"/>
  <c r="AE22" i="2"/>
  <c r="BD22" i="2" s="1"/>
  <c r="BQ152" i="2"/>
  <c r="BQ40" i="2"/>
  <c r="BY152" i="2"/>
  <c r="DC6" i="2"/>
  <c r="ED6" i="2" s="1"/>
  <c r="AE8" i="2"/>
  <c r="BD8" i="2" s="1"/>
  <c r="EC75" i="2"/>
  <c r="AE75" i="2"/>
  <c r="BD75" i="2" s="1"/>
  <c r="BK105" i="2"/>
  <c r="BL149" i="2"/>
  <c r="BL122" i="2"/>
  <c r="BT149" i="2"/>
  <c r="BT122" i="2"/>
  <c r="AE108" i="2"/>
  <c r="BD108" i="2" s="1"/>
  <c r="BR40" i="2"/>
  <c r="DG152" i="2"/>
  <c r="DO152" i="2"/>
  <c r="CC10" i="2"/>
  <c r="DB10" i="2" s="1"/>
  <c r="CN152" i="2"/>
  <c r="CN40" i="2"/>
  <c r="DM11" i="2"/>
  <c r="DM40" i="2" s="1"/>
  <c r="BF150" i="2"/>
  <c r="BE16" i="2"/>
  <c r="EC16" i="2" s="1"/>
  <c r="AE23" i="2"/>
  <c r="BD23" i="2" s="1"/>
  <c r="BC148" i="2"/>
  <c r="AF36" i="2"/>
  <c r="DD81" i="2"/>
  <c r="CQ151" i="2"/>
  <c r="CQ154" i="2" s="1"/>
  <c r="CQ81" i="2"/>
  <c r="CQ145" i="2" s="1"/>
  <c r="DP45" i="2"/>
  <c r="DP81" i="2" s="1"/>
  <c r="CD45" i="2"/>
  <c r="EJ45" i="2" s="1"/>
  <c r="DK54" i="2"/>
  <c r="CD54" i="2"/>
  <c r="EJ54" i="2" s="1"/>
  <c r="BQ64" i="2"/>
  <c r="AF64" i="2"/>
  <c r="BF152" i="2"/>
  <c r="BF40" i="2"/>
  <c r="EB5" i="2"/>
  <c r="DD150" i="2"/>
  <c r="DW152" i="2"/>
  <c r="DW40" i="2"/>
  <c r="AW152" i="2"/>
  <c r="AW40" i="2"/>
  <c r="AF5" i="2"/>
  <c r="BK152" i="2"/>
  <c r="BK40" i="2"/>
  <c r="BS152" i="2"/>
  <c r="BS40" i="2"/>
  <c r="DF40" i="2"/>
  <c r="BV7" i="2"/>
  <c r="BE7" i="2" s="1"/>
  <c r="AF7" i="2"/>
  <c r="DC8" i="2"/>
  <c r="DR150" i="2"/>
  <c r="EC23" i="2"/>
  <c r="CC32" i="2"/>
  <c r="DB32" i="2" s="1"/>
  <c r="CC48" i="2"/>
  <c r="DB48" i="2" s="1"/>
  <c r="CD7" i="2"/>
  <c r="DT7" i="2"/>
  <c r="DC7" i="2" s="1"/>
  <c r="CD25" i="2"/>
  <c r="DE25" i="2"/>
  <c r="DC25" i="2" s="1"/>
  <c r="AE27" i="2"/>
  <c r="BD27" i="2" s="1"/>
  <c r="CV151" i="2"/>
  <c r="CV81" i="2"/>
  <c r="DU64" i="2"/>
  <c r="DU151" i="2" s="1"/>
  <c r="CP64" i="2"/>
  <c r="CP151" i="2" s="1"/>
  <c r="CP154" i="2" s="1"/>
  <c r="BM152" i="2"/>
  <c r="BU152" i="2"/>
  <c r="DT9" i="2"/>
  <c r="DC9" i="2" s="1"/>
  <c r="ED9" i="2" s="1"/>
  <c r="EB15" i="2"/>
  <c r="AD150" i="2"/>
  <c r="DZ18" i="2"/>
  <c r="CB18" i="2"/>
  <c r="BE18" i="2" s="1"/>
  <c r="AE20" i="2"/>
  <c r="BD20" i="2" s="1"/>
  <c r="CC20" i="2"/>
  <c r="DB20" i="2" s="1"/>
  <c r="AH40" i="2"/>
  <c r="DO40" i="2"/>
  <c r="BS151" i="2"/>
  <c r="BS81" i="2"/>
  <c r="DI151" i="2"/>
  <c r="DI81" i="2"/>
  <c r="BH81" i="2"/>
  <c r="BL81" i="2"/>
  <c r="CD58" i="2"/>
  <c r="EJ58" i="2" s="1"/>
  <c r="DV58" i="2"/>
  <c r="DC58" i="2" s="1"/>
  <c r="W153" i="2"/>
  <c r="W154" i="2" s="1"/>
  <c r="DS89" i="2"/>
  <c r="W105" i="2"/>
  <c r="BU89" i="2"/>
  <c r="G89" i="2"/>
  <c r="BF105" i="2"/>
  <c r="CC117" i="2"/>
  <c r="DB117" i="2" s="1"/>
  <c r="EB117" i="2"/>
  <c r="CC16" i="2"/>
  <c r="DB16" i="2" s="1"/>
  <c r="DZ45" i="2"/>
  <c r="CB45" i="2"/>
  <c r="G45" i="2"/>
  <c r="CL148" i="2"/>
  <c r="CL40" i="2"/>
  <c r="DK36" i="2"/>
  <c r="CD36" i="2"/>
  <c r="AN151" i="2"/>
  <c r="AF41" i="2"/>
  <c r="AN81" i="2"/>
  <c r="BM41" i="2"/>
  <c r="BE41" i="2" s="1"/>
  <c r="DE93" i="2"/>
  <c r="G93" i="2"/>
  <c r="BG93" i="2"/>
  <c r="CU152" i="2"/>
  <c r="CU40" i="2"/>
  <c r="DT5" i="2"/>
  <c r="DC5" i="2" s="1"/>
  <c r="CD5" i="2"/>
  <c r="DI152" i="2"/>
  <c r="DI40" i="2"/>
  <c r="DQ152" i="2"/>
  <c r="BE8" i="2"/>
  <c r="EC8" i="2" s="1"/>
  <c r="CC31" i="2"/>
  <c r="DB31" i="2" s="1"/>
  <c r="AE32" i="2"/>
  <c r="BD32" i="2" s="1"/>
  <c r="AD148" i="2"/>
  <c r="DZ36" i="2"/>
  <c r="CB36" i="2"/>
  <c r="AE39" i="2"/>
  <c r="BD39" i="2" s="1"/>
  <c r="DH151" i="2"/>
  <c r="DH81" i="2"/>
  <c r="DQ151" i="2"/>
  <c r="EB59" i="2"/>
  <c r="AE59" i="2"/>
  <c r="BD59" i="2" s="1"/>
  <c r="Q81" i="2"/>
  <c r="BO67" i="2"/>
  <c r="G67" i="2"/>
  <c r="EB67" i="2" s="1"/>
  <c r="BE5" i="2"/>
  <c r="BN152" i="2"/>
  <c r="BV5" i="2"/>
  <c r="DK152" i="2"/>
  <c r="DS152" i="2"/>
  <c r="BZ40" i="2"/>
  <c r="CZ152" i="2"/>
  <c r="CZ40" i="2"/>
  <c r="CD12" i="2"/>
  <c r="AE15" i="2"/>
  <c r="BD15" i="2" s="1"/>
  <c r="AW150" i="2"/>
  <c r="BV19" i="2"/>
  <c r="AF19" i="2"/>
  <c r="CD37" i="2"/>
  <c r="DT37" i="2"/>
  <c r="DC37" i="2" s="1"/>
  <c r="BE39" i="2"/>
  <c r="EC39" i="2" s="1"/>
  <c r="W145" i="2"/>
  <c r="BK151" i="2"/>
  <c r="BK81" i="2"/>
  <c r="DC56" i="2"/>
  <c r="ED56" i="2" s="1"/>
  <c r="CO151" i="2"/>
  <c r="CO81" i="2"/>
  <c r="DN61" i="2"/>
  <c r="CD61" i="2"/>
  <c r="EJ61" i="2" s="1"/>
  <c r="BM72" i="2"/>
  <c r="BE72" i="2" s="1"/>
  <c r="EC72" i="2" s="1"/>
  <c r="DK72" i="2"/>
  <c r="DC72" i="2" s="1"/>
  <c r="ED72" i="2" s="1"/>
  <c r="G72" i="2"/>
  <c r="CC72" i="2" s="1"/>
  <c r="DB72" i="2" s="1"/>
  <c r="DV78" i="2"/>
  <c r="DC78" i="2" s="1"/>
  <c r="G78" i="2"/>
  <c r="EB78" i="2" s="1"/>
  <c r="DT21" i="2"/>
  <c r="CD21" i="2"/>
  <c r="BG35" i="2"/>
  <c r="DE35" i="2"/>
  <c r="DF151" i="2"/>
  <c r="DF81" i="2"/>
  <c r="AR151" i="2"/>
  <c r="AR154" i="2" s="1"/>
  <c r="AR81" i="2"/>
  <c r="AR145" i="2" s="1"/>
  <c r="BM44" i="2"/>
  <c r="AF44" i="2"/>
  <c r="DC48" i="2"/>
  <c r="ED48" i="2" s="1"/>
  <c r="DV52" i="2"/>
  <c r="DC52" i="2" s="1"/>
  <c r="ED52" i="2" s="1"/>
  <c r="G52" i="2"/>
  <c r="EB52" i="2" s="1"/>
  <c r="AE65" i="2"/>
  <c r="BD65" i="2" s="1"/>
  <c r="ED65" i="2"/>
  <c r="CC65" i="2"/>
  <c r="DB65" i="2" s="1"/>
  <c r="EC68" i="2"/>
  <c r="AE74" i="2"/>
  <c r="BD74" i="2" s="1"/>
  <c r="CD76" i="2"/>
  <c r="EJ76" i="2" s="1"/>
  <c r="DK76" i="2"/>
  <c r="CD79" i="2"/>
  <c r="EJ79" i="2" s="1"/>
  <c r="DZ79" i="2"/>
  <c r="DC79" i="2" s="1"/>
  <c r="DE81" i="2"/>
  <c r="BC153" i="2"/>
  <c r="BC105" i="2"/>
  <c r="CB82" i="2"/>
  <c r="DD153" i="2"/>
  <c r="DD105" i="2"/>
  <c r="DM153" i="2"/>
  <c r="DM105" i="2"/>
  <c r="DU153" i="2"/>
  <c r="DU105" i="2"/>
  <c r="CC96" i="2"/>
  <c r="DB96" i="2" s="1"/>
  <c r="AF98" i="2"/>
  <c r="BX98" i="2"/>
  <c r="BE98" i="2" s="1"/>
  <c r="AY105" i="2"/>
  <c r="BR149" i="2"/>
  <c r="BR122" i="2"/>
  <c r="BZ149" i="2"/>
  <c r="BZ122" i="2"/>
  <c r="DQ149" i="2"/>
  <c r="DQ122" i="2"/>
  <c r="Z149" i="2"/>
  <c r="Z122" i="2"/>
  <c r="BX110" i="2"/>
  <c r="BX122" i="2" s="1"/>
  <c r="DV110" i="2"/>
  <c r="DD120" i="2"/>
  <c r="DC120" i="2" s="1"/>
  <c r="CD120" i="2"/>
  <c r="EJ120" i="2" s="1"/>
  <c r="AE123" i="2"/>
  <c r="BD123" i="2" s="1"/>
  <c r="CD141" i="2"/>
  <c r="EJ141" i="2" s="1"/>
  <c r="DZ141" i="2"/>
  <c r="DC141" i="2" s="1"/>
  <c r="G142" i="2"/>
  <c r="EI142" i="2" s="1"/>
  <c r="DE142" i="2"/>
  <c r="DC142" i="2" s="1"/>
  <c r="ED142" i="2" s="1"/>
  <c r="BG142" i="2"/>
  <c r="BE142" i="2" s="1"/>
  <c r="EC142" i="2" s="1"/>
  <c r="I150" i="2"/>
  <c r="DH152" i="2"/>
  <c r="DH40" i="2"/>
  <c r="DP152" i="2"/>
  <c r="DP40" i="2"/>
  <c r="DX152" i="2"/>
  <c r="DX40" i="2"/>
  <c r="BE6" i="2"/>
  <c r="BV13" i="2"/>
  <c r="BE13" i="2" s="1"/>
  <c r="AF13" i="2"/>
  <c r="BH150" i="2"/>
  <c r="BP150" i="2"/>
  <c r="BX150" i="2"/>
  <c r="DE16" i="2"/>
  <c r="DM150" i="2"/>
  <c r="CV150" i="2"/>
  <c r="CV40" i="2"/>
  <c r="DU18" i="2"/>
  <c r="DU150" i="2" s="1"/>
  <c r="DC26" i="2"/>
  <c r="BW35" i="2"/>
  <c r="DU35" i="2"/>
  <c r="CK148" i="2"/>
  <c r="CK154" i="2" s="1"/>
  <c r="DJ36" i="2"/>
  <c r="DX151" i="2"/>
  <c r="AY81" i="2"/>
  <c r="DC47" i="2"/>
  <c r="ED47" i="2" s="1"/>
  <c r="AE54" i="2"/>
  <c r="BD54" i="2" s="1"/>
  <c r="DC71" i="2"/>
  <c r="ED71" i="2" s="1"/>
  <c r="BN153" i="2"/>
  <c r="BN105" i="2"/>
  <c r="BV95" i="2"/>
  <c r="BE95" i="2" s="1"/>
  <c r="EC95" i="2" s="1"/>
  <c r="DT95" i="2"/>
  <c r="DC95" i="2" s="1"/>
  <c r="ED95" i="2" s="1"/>
  <c r="G95" i="2"/>
  <c r="EI95" i="2" s="1"/>
  <c r="X105" i="2"/>
  <c r="AF96" i="2"/>
  <c r="AH105" i="2"/>
  <c r="EC20" i="2"/>
  <c r="G29" i="2"/>
  <c r="EB29" i="2" s="1"/>
  <c r="DE29" i="2"/>
  <c r="BG29" i="2"/>
  <c r="BE30" i="2"/>
  <c r="EC30" i="2" s="1"/>
  <c r="CB33" i="2"/>
  <c r="BE33" i="2" s="1"/>
  <c r="G33" i="2"/>
  <c r="EB33" i="2" s="1"/>
  <c r="CL151" i="2"/>
  <c r="DJ151" i="2"/>
  <c r="DJ81" i="2"/>
  <c r="BQ42" i="2"/>
  <c r="BE42" i="2" s="1"/>
  <c r="EC48" i="2"/>
  <c r="AE48" i="2"/>
  <c r="BD48" i="2" s="1"/>
  <c r="CU151" i="2"/>
  <c r="CU81" i="2"/>
  <c r="DT49" i="2"/>
  <c r="DT81" i="2" s="1"/>
  <c r="BM55" i="2"/>
  <c r="AF55" i="2"/>
  <c r="CD55" i="2"/>
  <c r="EJ55" i="2" s="1"/>
  <c r="DK55" i="2"/>
  <c r="CC59" i="2"/>
  <c r="DB59" i="2" s="1"/>
  <c r="CC63" i="2"/>
  <c r="DB63" i="2" s="1"/>
  <c r="DK80" i="2"/>
  <c r="DI105" i="2"/>
  <c r="DQ105" i="2"/>
  <c r="BJ153" i="2"/>
  <c r="DT102" i="2"/>
  <c r="DC102" i="2" s="1"/>
  <c r="ED102" i="2" s="1"/>
  <c r="BV102" i="2"/>
  <c r="G102" i="2"/>
  <c r="BE106" i="2"/>
  <c r="CL147" i="2"/>
  <c r="CL143" i="2"/>
  <c r="CD124" i="2"/>
  <c r="EJ124" i="2" s="1"/>
  <c r="DK124" i="2"/>
  <c r="DL125" i="2"/>
  <c r="BN125" i="2"/>
  <c r="AF125" i="2"/>
  <c r="AO147" i="2"/>
  <c r="BX40" i="2"/>
  <c r="DD152" i="2"/>
  <c r="DD40" i="2"/>
  <c r="DL152" i="2"/>
  <c r="AE10" i="2"/>
  <c r="BD10" i="2" s="1"/>
  <c r="DZ11" i="2"/>
  <c r="X152" i="2"/>
  <c r="X40" i="2"/>
  <c r="DT14" i="2"/>
  <c r="DC14" i="2" s="1"/>
  <c r="G14" i="2"/>
  <c r="DI150" i="2"/>
  <c r="DQ150" i="2"/>
  <c r="ED17" i="2"/>
  <c r="AF18" i="2"/>
  <c r="BE20" i="2"/>
  <c r="DC20" i="2"/>
  <c r="ED20" i="2" s="1"/>
  <c r="AI152" i="2"/>
  <c r="AI154" i="2" s="1"/>
  <c r="BH22" i="2"/>
  <c r="DZ27" i="2"/>
  <c r="DC27" i="2" s="1"/>
  <c r="ED27" i="2" s="1"/>
  <c r="DC28" i="2"/>
  <c r="ED28" i="2" s="1"/>
  <c r="DC31" i="2"/>
  <c r="ED31" i="2" s="1"/>
  <c r="DC32" i="2"/>
  <c r="ED32" i="2" s="1"/>
  <c r="Y152" i="2"/>
  <c r="BW34" i="2"/>
  <c r="CD35" i="2"/>
  <c r="AM148" i="2"/>
  <c r="AM154" i="2" s="1"/>
  <c r="AM40" i="2"/>
  <c r="AM145" i="2" s="1"/>
  <c r="BL36" i="2"/>
  <c r="BL40" i="2" s="1"/>
  <c r="CD39" i="2"/>
  <c r="BF151" i="2"/>
  <c r="BF81" i="2"/>
  <c r="BV151" i="2"/>
  <c r="Z151" i="2"/>
  <c r="Z81" i="2"/>
  <c r="DV42" i="2"/>
  <c r="DC42" i="2" s="1"/>
  <c r="AF43" i="2"/>
  <c r="BM47" i="2"/>
  <c r="S151" i="2"/>
  <c r="S154" i="2" s="1"/>
  <c r="S81" i="2"/>
  <c r="S145" i="2" s="1"/>
  <c r="G49" i="2"/>
  <c r="EB49" i="2" s="1"/>
  <c r="BQ49" i="2"/>
  <c r="DO49" i="2"/>
  <c r="EC50" i="2"/>
  <c r="DC59" i="2"/>
  <c r="ED59" i="2" s="1"/>
  <c r="BE70" i="2"/>
  <c r="EC70" i="2" s="1"/>
  <c r="CW80" i="2"/>
  <c r="DV80" i="2" s="1"/>
  <c r="DZ84" i="2"/>
  <c r="DC84" i="2" s="1"/>
  <c r="CB84" i="2"/>
  <c r="AD105" i="2"/>
  <c r="G84" i="2"/>
  <c r="EI84" i="2" s="1"/>
  <c r="EC88" i="2"/>
  <c r="AE88" i="2"/>
  <c r="BD88" i="2" s="1"/>
  <c r="CC88" i="2"/>
  <c r="DB88" i="2" s="1"/>
  <c r="AW149" i="2"/>
  <c r="BV111" i="2"/>
  <c r="BV122" i="2" s="1"/>
  <c r="AW122" i="2"/>
  <c r="BJ122" i="2"/>
  <c r="R147" i="2"/>
  <c r="R143" i="2"/>
  <c r="BP124" i="2"/>
  <c r="DN124" i="2"/>
  <c r="DA143" i="2"/>
  <c r="DA147" i="2"/>
  <c r="CC128" i="2"/>
  <c r="DB128" i="2" s="1"/>
  <c r="BY112" i="2"/>
  <c r="AF112" i="2"/>
  <c r="CN147" i="2"/>
  <c r="CN143" i="2"/>
  <c r="R148" i="2"/>
  <c r="DN126" i="2"/>
  <c r="BP126" i="2"/>
  <c r="G130" i="2"/>
  <c r="Z148" i="2"/>
  <c r="Z143" i="2"/>
  <c r="DV130" i="2"/>
  <c r="DV148" i="2" s="1"/>
  <c r="BX130" i="2"/>
  <c r="BX143" i="2" s="1"/>
  <c r="AF141" i="2"/>
  <c r="AH143" i="2"/>
  <c r="CC142" i="2"/>
  <c r="DB142" i="2" s="1"/>
  <c r="CC15" i="2"/>
  <c r="DB15" i="2" s="1"/>
  <c r="BM150" i="2"/>
  <c r="BU150" i="2"/>
  <c r="CF150" i="2"/>
  <c r="CD23" i="2"/>
  <c r="BE25" i="2"/>
  <c r="EC25" i="2" s="1"/>
  <c r="AE26" i="2"/>
  <c r="BD26" i="2" s="1"/>
  <c r="CD26" i="2"/>
  <c r="G27" i="2"/>
  <c r="EB27" i="2" s="1"/>
  <c r="BE32" i="2"/>
  <c r="EC32" i="2" s="1"/>
  <c r="I40" i="2"/>
  <c r="AN40" i="2"/>
  <c r="BG151" i="2"/>
  <c r="BG81" i="2"/>
  <c r="DM81" i="2"/>
  <c r="AF42" i="2"/>
  <c r="CW46" i="2"/>
  <c r="DV46" i="2" s="1"/>
  <c r="CY151" i="2"/>
  <c r="CY154" i="2" s="1"/>
  <c r="CY81" i="2"/>
  <c r="CY145" i="2" s="1"/>
  <c r="BX52" i="2"/>
  <c r="BE52" i="2" s="1"/>
  <c r="EC52" i="2" s="1"/>
  <c r="AE53" i="2"/>
  <c r="BD53" i="2" s="1"/>
  <c r="CC53" i="2"/>
  <c r="DB53" i="2" s="1"/>
  <c r="BE59" i="2"/>
  <c r="EC59" i="2" s="1"/>
  <c r="CD60" i="2"/>
  <c r="EJ60" i="2" s="1"/>
  <c r="DK60" i="2"/>
  <c r="DC60" i="2" s="1"/>
  <c r="AF62" i="2"/>
  <c r="BM62" i="2"/>
  <c r="BE62" i="2" s="1"/>
  <c r="DC62" i="2"/>
  <c r="DC63" i="2"/>
  <c r="ED63" i="2" s="1"/>
  <c r="DK153" i="2"/>
  <c r="DK105" i="2"/>
  <c r="DS153" i="2"/>
  <c r="CD83" i="2"/>
  <c r="EJ83" i="2" s="1"/>
  <c r="DE83" i="2"/>
  <c r="CC87" i="2"/>
  <c r="DB87" i="2" s="1"/>
  <c r="BJ152" i="2"/>
  <c r="BJ40" i="2"/>
  <c r="BR152" i="2"/>
  <c r="BZ152" i="2"/>
  <c r="BE10" i="2"/>
  <c r="EC10" i="2" s="1"/>
  <c r="CH150" i="2"/>
  <c r="DG15" i="2"/>
  <c r="DG40" i="2" s="1"/>
  <c r="BN150" i="2"/>
  <c r="DK150" i="2"/>
  <c r="DS150" i="2"/>
  <c r="CD18" i="2"/>
  <c r="G35" i="2"/>
  <c r="EB35" i="2" s="1"/>
  <c r="DT38" i="2"/>
  <c r="DC38" i="2" s="1"/>
  <c r="CD38" i="2"/>
  <c r="DC39" i="2"/>
  <c r="J145" i="2"/>
  <c r="DC41" i="2"/>
  <c r="BC151" i="2"/>
  <c r="BC81" i="2"/>
  <c r="DA151" i="2"/>
  <c r="DA81" i="2"/>
  <c r="BX44" i="2"/>
  <c r="G44" i="2"/>
  <c r="DK46" i="2"/>
  <c r="AF61" i="2"/>
  <c r="R151" i="2"/>
  <c r="DN64" i="2"/>
  <c r="BP64" i="2"/>
  <c r="R81" i="2"/>
  <c r="R145" i="2" s="1"/>
  <c r="BV81" i="2"/>
  <c r="BU143" i="2"/>
  <c r="AF128" i="2"/>
  <c r="CB128" i="2"/>
  <c r="BE128" i="2" s="1"/>
  <c r="BC152" i="2"/>
  <c r="BC40" i="2"/>
  <c r="BL152" i="2"/>
  <c r="BT152" i="2"/>
  <c r="DF152" i="2"/>
  <c r="DN152" i="2"/>
  <c r="DV152" i="2"/>
  <c r="DT10" i="2"/>
  <c r="DC10" i="2" s="1"/>
  <c r="ED10" i="2" s="1"/>
  <c r="ED14" i="2"/>
  <c r="BO150" i="2"/>
  <c r="BW150" i="2"/>
  <c r="DJ150" i="2"/>
  <c r="BI17" i="2"/>
  <c r="AH152" i="2"/>
  <c r="I152" i="2"/>
  <c r="CB28" i="2"/>
  <c r="BE28" i="2" s="1"/>
  <c r="EC28" i="2" s="1"/>
  <c r="DL36" i="2"/>
  <c r="H145" i="2"/>
  <c r="P40" i="2"/>
  <c r="BL151" i="2"/>
  <c r="BT151" i="2"/>
  <c r="DG151" i="2"/>
  <c r="DW151" i="2"/>
  <c r="DW81" i="2"/>
  <c r="V151" i="2"/>
  <c r="V81" i="2"/>
  <c r="DR45" i="2"/>
  <c r="DR151" i="2" s="1"/>
  <c r="AB151" i="2"/>
  <c r="AB154" i="2" s="1"/>
  <c r="AB81" i="2"/>
  <c r="AB145" i="2" s="1"/>
  <c r="BZ49" i="2"/>
  <c r="BZ81" i="2" s="1"/>
  <c r="CP81" i="2"/>
  <c r="CP145" i="2" s="1"/>
  <c r="DV55" i="2"/>
  <c r="BX56" i="2"/>
  <c r="BE56" i="2" s="1"/>
  <c r="DK57" i="2"/>
  <c r="DC57" i="2" s="1"/>
  <c r="BM60" i="2"/>
  <c r="BE60" i="2" s="1"/>
  <c r="EC60" i="2" s="1"/>
  <c r="P151" i="2"/>
  <c r="P81" i="2"/>
  <c r="DL64" i="2"/>
  <c r="DL151" i="2" s="1"/>
  <c r="DZ64" i="2"/>
  <c r="AE70" i="2"/>
  <c r="BD70" i="2" s="1"/>
  <c r="BK153" i="2"/>
  <c r="BS153" i="2"/>
  <c r="BS105" i="2"/>
  <c r="BE92" i="2"/>
  <c r="EC92" i="2" s="1"/>
  <c r="AE106" i="2"/>
  <c r="BD106" i="2" s="1"/>
  <c r="EC106" i="2"/>
  <c r="DJ149" i="2"/>
  <c r="DJ122" i="2"/>
  <c r="DR149" i="2"/>
  <c r="DR122" i="2"/>
  <c r="BE113" i="2"/>
  <c r="CC119" i="2"/>
  <c r="DB119" i="2" s="1"/>
  <c r="DD143" i="2"/>
  <c r="DC140" i="2"/>
  <c r="AD152" i="2"/>
  <c r="BP152" i="2"/>
  <c r="BX152" i="2"/>
  <c r="DJ152" i="2"/>
  <c r="DR152" i="2"/>
  <c r="AF11" i="2"/>
  <c r="AF12" i="2"/>
  <c r="AJ150" i="2"/>
  <c r="AH150" i="2"/>
  <c r="BK150" i="2"/>
  <c r="BS150" i="2"/>
  <c r="DF150" i="2"/>
  <c r="DN150" i="2"/>
  <c r="DV150" i="2"/>
  <c r="DA150" i="2"/>
  <c r="CF152" i="2"/>
  <c r="G36" i="2"/>
  <c r="AO148" i="2"/>
  <c r="BH148" i="2"/>
  <c r="BP36" i="2"/>
  <c r="DH148" i="2"/>
  <c r="DP148" i="2"/>
  <c r="DX148" i="2"/>
  <c r="BT40" i="2"/>
  <c r="CT40" i="2"/>
  <c r="G41" i="2"/>
  <c r="CC41" i="2" s="1"/>
  <c r="DB41" i="2" s="1"/>
  <c r="BH151" i="2"/>
  <c r="BP151" i="2"/>
  <c r="BM43" i="2"/>
  <c r="BE43" i="2" s="1"/>
  <c r="G43" i="2"/>
  <c r="EB43" i="2" s="1"/>
  <c r="DK43" i="2"/>
  <c r="AW151" i="2"/>
  <c r="AW81" i="2"/>
  <c r="DV53" i="2"/>
  <c r="DC53" i="2" s="1"/>
  <c r="ED53" i="2" s="1"/>
  <c r="BX53" i="2"/>
  <c r="BE53" i="2" s="1"/>
  <c r="EC53" i="2" s="1"/>
  <c r="BE55" i="2"/>
  <c r="AQ151" i="2"/>
  <c r="AQ81" i="2"/>
  <c r="AF67" i="2"/>
  <c r="BM67" i="2"/>
  <c r="DC75" i="2"/>
  <c r="ED75" i="2" s="1"/>
  <c r="AF78" i="2"/>
  <c r="AX81" i="2"/>
  <c r="BP81" i="2"/>
  <c r="BF153" i="2"/>
  <c r="BE84" i="2"/>
  <c r="CU153" i="2"/>
  <c r="DT85" i="2"/>
  <c r="BV87" i="2"/>
  <c r="BE87" i="2" s="1"/>
  <c r="AF87" i="2"/>
  <c r="AE90" i="2"/>
  <c r="BD90" i="2" s="1"/>
  <c r="BV99" i="2"/>
  <c r="BE99" i="2" s="1"/>
  <c r="AF99" i="2"/>
  <c r="BV101" i="2"/>
  <c r="BE101" i="2" s="1"/>
  <c r="EC101" i="2" s="1"/>
  <c r="G101" i="2"/>
  <c r="EI101" i="2" s="1"/>
  <c r="DT101" i="2"/>
  <c r="DC101" i="2" s="1"/>
  <c r="ED101" i="2" s="1"/>
  <c r="DN149" i="2"/>
  <c r="DN122" i="2"/>
  <c r="AF110" i="2"/>
  <c r="DC114" i="2"/>
  <c r="ED114" i="2" s="1"/>
  <c r="DF147" i="2"/>
  <c r="DF143" i="2"/>
  <c r="AE129" i="2"/>
  <c r="BD129" i="2" s="1"/>
  <c r="BF143" i="2"/>
  <c r="BI152" i="2"/>
  <c r="DY152" i="2"/>
  <c r="CA12" i="2"/>
  <c r="CA152" i="2" s="1"/>
  <c r="BL150" i="2"/>
  <c r="BT150" i="2"/>
  <c r="DO150" i="2"/>
  <c r="DW150" i="2"/>
  <c r="CG152" i="2"/>
  <c r="CG154" i="2" s="1"/>
  <c r="G34" i="2"/>
  <c r="AE34" i="2" s="1"/>
  <c r="BD34" i="2" s="1"/>
  <c r="BQ148" i="2"/>
  <c r="BY148" i="2"/>
  <c r="DA148" i="2"/>
  <c r="DI148" i="2"/>
  <c r="DQ36" i="2"/>
  <c r="U40" i="2"/>
  <c r="BB40" i="2"/>
  <c r="DV40" i="2"/>
  <c r="O151" i="2"/>
  <c r="O81" i="2"/>
  <c r="O145" i="2" s="1"/>
  <c r="G42" i="2"/>
  <c r="EB42" i="2" s="1"/>
  <c r="AD151" i="2"/>
  <c r="AD81" i="2"/>
  <c r="AT151" i="2"/>
  <c r="AT81" i="2"/>
  <c r="AT145" i="2" s="1"/>
  <c r="CS151" i="2"/>
  <c r="CS81" i="2"/>
  <c r="CS145" i="2" s="1"/>
  <c r="G55" i="2"/>
  <c r="EB55" i="2" s="1"/>
  <c r="CD62" i="2"/>
  <c r="EJ62" i="2" s="1"/>
  <c r="CT73" i="2"/>
  <c r="CC77" i="2"/>
  <c r="DB77" i="2" s="1"/>
  <c r="BT81" i="2"/>
  <c r="BO105" i="2"/>
  <c r="BW105" i="2"/>
  <c r="DC94" i="2"/>
  <c r="ED94" i="2" s="1"/>
  <c r="CW98" i="2"/>
  <c r="AF100" i="2"/>
  <c r="CB103" i="2"/>
  <c r="BE103" i="2" s="1"/>
  <c r="EC103" i="2" s="1"/>
  <c r="G103" i="2"/>
  <c r="EI103" i="2" s="1"/>
  <c r="DZ103" i="2"/>
  <c r="AW105" i="2"/>
  <c r="DC107" i="2"/>
  <c r="ED107" i="2" s="1"/>
  <c r="BS122" i="2"/>
  <c r="CD110" i="2"/>
  <c r="EJ110" i="2" s="1"/>
  <c r="BE116" i="2"/>
  <c r="EC116" i="2" s="1"/>
  <c r="P147" i="2"/>
  <c r="P143" i="2"/>
  <c r="DL124" i="2"/>
  <c r="BN124" i="2"/>
  <c r="L147" i="2"/>
  <c r="L154" i="2" s="1"/>
  <c r="BJ125" i="2"/>
  <c r="G125" i="2"/>
  <c r="L143" i="2"/>
  <c r="L145" i="2" s="1"/>
  <c r="DH125" i="2"/>
  <c r="DH143" i="2" s="1"/>
  <c r="CB125" i="2"/>
  <c r="CB147" i="2" s="1"/>
  <c r="AD147" i="2"/>
  <c r="DZ125" i="2"/>
  <c r="DZ147" i="2" s="1"/>
  <c r="CD135" i="2"/>
  <c r="EJ135" i="2" s="1"/>
  <c r="CU150" i="2"/>
  <c r="BJ148" i="2"/>
  <c r="BR148" i="2"/>
  <c r="BZ148" i="2"/>
  <c r="AD40" i="2"/>
  <c r="DN40" i="2"/>
  <c r="BJ151" i="2"/>
  <c r="BR151" i="2"/>
  <c r="BR81" i="2"/>
  <c r="DE151" i="2"/>
  <c r="DM151" i="2"/>
  <c r="DU81" i="2"/>
  <c r="AU151" i="2"/>
  <c r="AU81" i="2"/>
  <c r="BA81" i="2"/>
  <c r="BA145" i="2" s="1"/>
  <c r="BA151" i="2"/>
  <c r="BA154" i="2" s="1"/>
  <c r="BE66" i="2"/>
  <c r="CD97" i="2"/>
  <c r="EJ97" i="2" s="1"/>
  <c r="DE97" i="2"/>
  <c r="DC97" i="2" s="1"/>
  <c r="DH149" i="2"/>
  <c r="DH122" i="2"/>
  <c r="DP149" i="2"/>
  <c r="AY149" i="2"/>
  <c r="AY122" i="2"/>
  <c r="CF149" i="2"/>
  <c r="DE110" i="2"/>
  <c r="DE122" i="2" s="1"/>
  <c r="CF122" i="2"/>
  <c r="EC113" i="2"/>
  <c r="AE113" i="2"/>
  <c r="BD113" i="2" s="1"/>
  <c r="BZ143" i="2"/>
  <c r="BE131" i="2"/>
  <c r="EC131" i="2" s="1"/>
  <c r="AE136" i="2"/>
  <c r="BD136" i="2" s="1"/>
  <c r="AF76" i="2"/>
  <c r="AH153" i="2"/>
  <c r="BG82" i="2"/>
  <c r="AF82" i="2"/>
  <c r="BL153" i="2"/>
  <c r="BL105" i="2"/>
  <c r="BT153" i="2"/>
  <c r="BT105" i="2"/>
  <c r="DC86" i="2"/>
  <c r="I153" i="2"/>
  <c r="DE91" i="2"/>
  <c r="DC91" i="2" s="1"/>
  <c r="ED91" i="2" s="1"/>
  <c r="G91" i="2"/>
  <c r="EI91" i="2" s="1"/>
  <c r="BV93" i="2"/>
  <c r="G104" i="2"/>
  <c r="EI104" i="2" s="1"/>
  <c r="DZ104" i="2"/>
  <c r="DC104" i="2" s="1"/>
  <c r="ED104" i="2" s="1"/>
  <c r="DX149" i="2"/>
  <c r="DX122" i="2"/>
  <c r="AA149" i="2"/>
  <c r="AA154" i="2" s="1"/>
  <c r="AA122" i="2"/>
  <c r="AA145" i="2" s="1"/>
  <c r="BY108" i="2"/>
  <c r="DW108" i="2"/>
  <c r="DF149" i="2"/>
  <c r="AX149" i="2"/>
  <c r="BW111" i="2"/>
  <c r="BW122" i="2" s="1"/>
  <c r="CV149" i="2"/>
  <c r="DU111" i="2"/>
  <c r="CD111" i="2"/>
  <c r="EJ111" i="2" s="1"/>
  <c r="BE112" i="2"/>
  <c r="DC115" i="2"/>
  <c r="ED115" i="2" s="1"/>
  <c r="CD116" i="2"/>
  <c r="EJ116" i="2" s="1"/>
  <c r="DW116" i="2"/>
  <c r="DC116" i="2" s="1"/>
  <c r="CC123" i="2"/>
  <c r="DB123" i="2" s="1"/>
  <c r="Q143" i="2"/>
  <c r="Q147" i="2"/>
  <c r="BO124" i="2"/>
  <c r="BO147" i="2" s="1"/>
  <c r="DM124" i="2"/>
  <c r="AU147" i="2"/>
  <c r="AU143" i="2"/>
  <c r="BT124" i="2"/>
  <c r="BT147" i="2" s="1"/>
  <c r="DL126" i="2"/>
  <c r="BN126" i="2"/>
  <c r="G126" i="2"/>
  <c r="CZ143" i="2"/>
  <c r="CZ148" i="2"/>
  <c r="CD126" i="2"/>
  <c r="EJ126" i="2" s="1"/>
  <c r="U154" i="2"/>
  <c r="BI151" i="2"/>
  <c r="BI81" i="2"/>
  <c r="BQ151" i="2"/>
  <c r="BQ81" i="2"/>
  <c r="BY151" i="2"/>
  <c r="BY81" i="2"/>
  <c r="DD151" i="2"/>
  <c r="AY151" i="2"/>
  <c r="AS151" i="2"/>
  <c r="AS154" i="2" s="1"/>
  <c r="AS81" i="2"/>
  <c r="AS145" i="2" s="1"/>
  <c r="CR151" i="2"/>
  <c r="CR154" i="2" s="1"/>
  <c r="CR81" i="2"/>
  <c r="Q151" i="2"/>
  <c r="BM79" i="2"/>
  <c r="G79" i="2"/>
  <c r="BX80" i="2"/>
  <c r="BE80" i="2" s="1"/>
  <c r="BH153" i="2"/>
  <c r="BH105" i="2"/>
  <c r="BP153" i="2"/>
  <c r="BP105" i="2"/>
  <c r="DN153" i="2"/>
  <c r="DN105" i="2"/>
  <c r="BE83" i="2"/>
  <c r="EC83" i="2" s="1"/>
  <c r="AF93" i="2"/>
  <c r="BE94" i="2"/>
  <c r="DC99" i="2"/>
  <c r="DC103" i="2"/>
  <c r="BE104" i="2"/>
  <c r="EC104" i="2" s="1"/>
  <c r="BM149" i="2"/>
  <c r="BM122" i="2"/>
  <c r="BU149" i="2"/>
  <c r="BU122" i="2"/>
  <c r="DD108" i="2"/>
  <c r="CD108" i="2"/>
  <c r="EJ108" i="2" s="1"/>
  <c r="G111" i="2"/>
  <c r="EI111" i="2" s="1"/>
  <c r="BE121" i="2"/>
  <c r="AZ122" i="2"/>
  <c r="AZ145" i="2" s="1"/>
  <c r="DX143" i="2"/>
  <c r="AF124" i="2"/>
  <c r="AN147" i="2"/>
  <c r="AN143" i="2"/>
  <c r="DM125" i="2"/>
  <c r="AC148" i="2"/>
  <c r="CA126" i="2"/>
  <c r="DY126" i="2"/>
  <c r="EB82" i="2"/>
  <c r="DG153" i="2"/>
  <c r="DG105" i="2"/>
  <c r="DO153" i="2"/>
  <c r="DO105" i="2"/>
  <c r="DW153" i="2"/>
  <c r="DW105" i="2"/>
  <c r="AV153" i="2"/>
  <c r="AF89" i="2"/>
  <c r="AV105" i="2"/>
  <c r="ED92" i="2"/>
  <c r="BE100" i="2"/>
  <c r="BN149" i="2"/>
  <c r="CX149" i="2"/>
  <c r="CX154" i="2" s="1"/>
  <c r="CX122" i="2"/>
  <c r="CX145" i="2" s="1"/>
  <c r="DW106" i="2"/>
  <c r="AG149" i="2"/>
  <c r="AG154" i="2" s="1"/>
  <c r="BF107" i="2"/>
  <c r="BE107" i="2" s="1"/>
  <c r="AF107" i="2"/>
  <c r="H149" i="2"/>
  <c r="H154" i="2" s="1"/>
  <c r="BF110" i="2"/>
  <c r="DD110" i="2"/>
  <c r="G110" i="2"/>
  <c r="BC149" i="2"/>
  <c r="BC122" i="2"/>
  <c r="DZ111" i="2"/>
  <c r="BE117" i="2"/>
  <c r="EC117" i="2" s="1"/>
  <c r="AG122" i="2"/>
  <c r="AG145" i="2" s="1"/>
  <c r="BK147" i="2"/>
  <c r="DY147" i="2"/>
  <c r="G127" i="2"/>
  <c r="EI127" i="2" s="1"/>
  <c r="DL127" i="2"/>
  <c r="BN127" i="2"/>
  <c r="AE137" i="2"/>
  <c r="BD137" i="2" s="1"/>
  <c r="BX74" i="2"/>
  <c r="BE74" i="2" s="1"/>
  <c r="EC74" i="2" s="1"/>
  <c r="BX76" i="2"/>
  <c r="DL81" i="2"/>
  <c r="BJ105" i="2"/>
  <c r="BR153" i="2"/>
  <c r="BR105" i="2"/>
  <c r="BZ105" i="2"/>
  <c r="CW105" i="2"/>
  <c r="BG91" i="2"/>
  <c r="BE91" i="2" s="1"/>
  <c r="EC91" i="2" s="1"/>
  <c r="AX153" i="2"/>
  <c r="BG96" i="2"/>
  <c r="BE96" i="2" s="1"/>
  <c r="CD103" i="2"/>
  <c r="EJ103" i="2" s="1"/>
  <c r="DC106" i="2"/>
  <c r="AE109" i="2"/>
  <c r="BD109" i="2" s="1"/>
  <c r="DA149" i="2"/>
  <c r="AL149" i="2"/>
  <c r="AL154" i="2" s="1"/>
  <c r="AF111" i="2"/>
  <c r="AL122" i="2"/>
  <c r="AL145" i="2" s="1"/>
  <c r="BK111" i="2"/>
  <c r="BK149" i="2" s="1"/>
  <c r="DC117" i="2"/>
  <c r="ED117" i="2" s="1"/>
  <c r="AE118" i="2"/>
  <c r="BD118" i="2" s="1"/>
  <c r="BQ143" i="2"/>
  <c r="BY143" i="2"/>
  <c r="AP147" i="2"/>
  <c r="AP143" i="2"/>
  <c r="DN125" i="2"/>
  <c r="CC137" i="2"/>
  <c r="DB137" i="2" s="1"/>
  <c r="BQ153" i="2"/>
  <c r="BY153" i="2"/>
  <c r="DL153" i="2"/>
  <c r="AW153" i="2"/>
  <c r="DT87" i="2"/>
  <c r="DC87" i="2" s="1"/>
  <c r="ED87" i="2" s="1"/>
  <c r="DV93" i="2"/>
  <c r="DE96" i="2"/>
  <c r="DC96" i="2" s="1"/>
  <c r="AZ149" i="2"/>
  <c r="AZ154" i="2" s="1"/>
  <c r="BS149" i="2"/>
  <c r="DO149" i="2"/>
  <c r="CW149" i="2"/>
  <c r="CW122" i="2"/>
  <c r="CU149" i="2"/>
  <c r="CU122" i="2"/>
  <c r="O147" i="2"/>
  <c r="G124" i="2"/>
  <c r="EI124" i="2" s="1"/>
  <c r="BM124" i="2"/>
  <c r="BM147" i="2" s="1"/>
  <c r="AO143" i="2"/>
  <c r="DV147" i="2"/>
  <c r="BB147" i="2"/>
  <c r="BB143" i="2"/>
  <c r="DM126" i="2"/>
  <c r="Q148" i="2"/>
  <c r="AP148" i="2"/>
  <c r="AF127" i="2"/>
  <c r="DT128" i="2"/>
  <c r="CU148" i="2"/>
  <c r="DC136" i="2"/>
  <c r="ED136" i="2" s="1"/>
  <c r="CU143" i="2"/>
  <c r="CS147" i="2"/>
  <c r="BM153" i="2"/>
  <c r="DH153" i="2"/>
  <c r="DP153" i="2"/>
  <c r="DX153" i="2"/>
  <c r="X153" i="2"/>
  <c r="BG149" i="2"/>
  <c r="BG122" i="2"/>
  <c r="BO149" i="2"/>
  <c r="BO122" i="2"/>
  <c r="DK149" i="2"/>
  <c r="DK122" i="2"/>
  <c r="DS149" i="2"/>
  <c r="DS122" i="2"/>
  <c r="AD149" i="2"/>
  <c r="DZ110" i="2"/>
  <c r="AE120" i="2"/>
  <c r="BD120" i="2" s="1"/>
  <c r="DP143" i="2"/>
  <c r="T147" i="2"/>
  <c r="T154" i="2" s="1"/>
  <c r="T143" i="2"/>
  <c r="T145" i="2" s="1"/>
  <c r="DQ125" i="2"/>
  <c r="DQ147" i="2" s="1"/>
  <c r="BP127" i="2"/>
  <c r="DN127" i="2"/>
  <c r="DN148" i="2" s="1"/>
  <c r="AH148" i="2"/>
  <c r="BG130" i="2"/>
  <c r="BG148" i="2" s="1"/>
  <c r="CC136" i="2"/>
  <c r="DB136" i="2" s="1"/>
  <c r="CF153" i="2"/>
  <c r="DI153" i="2"/>
  <c r="DQ153" i="2"/>
  <c r="BI105" i="2"/>
  <c r="BQ105" i="2"/>
  <c r="BY105" i="2"/>
  <c r="BH149" i="2"/>
  <c r="BP149" i="2"/>
  <c r="BX149" i="2"/>
  <c r="DL149" i="2"/>
  <c r="DT149" i="2"/>
  <c r="CE149" i="2"/>
  <c r="CE154" i="2" s="1"/>
  <c r="CE122" i="2"/>
  <c r="CE145" i="2" s="1"/>
  <c r="CH149" i="2"/>
  <c r="DG118" i="2"/>
  <c r="DC118" i="2" s="1"/>
  <c r="ED118" i="2" s="1"/>
  <c r="DT122" i="2"/>
  <c r="AD143" i="2"/>
  <c r="BK143" i="2"/>
  <c r="CB123" i="2"/>
  <c r="BE123" i="2" s="1"/>
  <c r="DI143" i="2"/>
  <c r="DZ123" i="2"/>
  <c r="DC123" i="2" s="1"/>
  <c r="V147" i="2"/>
  <c r="BF147" i="2"/>
  <c r="DJ147" i="2"/>
  <c r="Y143" i="2"/>
  <c r="Y145" i="2" s="1"/>
  <c r="Y147" i="2"/>
  <c r="DU125" i="2"/>
  <c r="CA147" i="2"/>
  <c r="DR125" i="2"/>
  <c r="AJ148" i="2"/>
  <c r="AJ143" i="2"/>
  <c r="AJ145" i="2" s="1"/>
  <c r="BI132" i="2"/>
  <c r="BE132" i="2" s="1"/>
  <c r="EC132" i="2" s="1"/>
  <c r="DC138" i="2"/>
  <c r="ED138" i="2" s="1"/>
  <c r="AH149" i="2"/>
  <c r="AD153" i="2"/>
  <c r="BO153" i="2"/>
  <c r="BW153" i="2"/>
  <c r="DA82" i="2"/>
  <c r="DJ153" i="2"/>
  <c r="DR153" i="2"/>
  <c r="AY153" i="2"/>
  <c r="DT93" i="2"/>
  <c r="BQ149" i="2"/>
  <c r="BQ122" i="2"/>
  <c r="DM149" i="2"/>
  <c r="DM122" i="2"/>
  <c r="DV111" i="2"/>
  <c r="AJ149" i="2"/>
  <c r="BI118" i="2"/>
  <c r="BL143" i="2"/>
  <c r="DJ143" i="2"/>
  <c r="EB123" i="2"/>
  <c r="BR124" i="2"/>
  <c r="BR147" i="2" s="1"/>
  <c r="AV147" i="2"/>
  <c r="AV143" i="2"/>
  <c r="CV147" i="2"/>
  <c r="CV143" i="2"/>
  <c r="AF126" i="2"/>
  <c r="DY127" i="2"/>
  <c r="CA127" i="2"/>
  <c r="DT130" i="2"/>
  <c r="CD130" i="2"/>
  <c r="EJ130" i="2" s="1"/>
  <c r="CH148" i="2"/>
  <c r="CD132" i="2"/>
  <c r="EJ132" i="2" s="1"/>
  <c r="BE134" i="2"/>
  <c r="ED139" i="2"/>
  <c r="CC139" i="2"/>
  <c r="DB139" i="2" s="1"/>
  <c r="CR143" i="2"/>
  <c r="J154" i="2"/>
  <c r="BI147" i="2"/>
  <c r="BQ147" i="2"/>
  <c r="BY147" i="2"/>
  <c r="CO147" i="2"/>
  <c r="CO143" i="2"/>
  <c r="CO145" i="2" s="1"/>
  <c r="DI147" i="2"/>
  <c r="BC147" i="2"/>
  <c r="BC143" i="2"/>
  <c r="CW148" i="2"/>
  <c r="CW143" i="2"/>
  <c r="V143" i="2"/>
  <c r="CT147" i="2"/>
  <c r="BV143" i="2"/>
  <c r="DD147" i="2"/>
  <c r="DU147" i="2"/>
  <c r="AC143" i="2"/>
  <c r="AC145" i="2" s="1"/>
  <c r="V148" i="2"/>
  <c r="BB148" i="2"/>
  <c r="DK126" i="2"/>
  <c r="DZ127" i="2"/>
  <c r="DU127" i="2"/>
  <c r="DQ129" i="2"/>
  <c r="DZ129" i="2"/>
  <c r="ED133" i="2"/>
  <c r="CC133" i="2"/>
  <c r="DB133" i="2" s="1"/>
  <c r="AF134" i="2"/>
  <c r="M154" i="2"/>
  <c r="AT147" i="2"/>
  <c r="ED131" i="2"/>
  <c r="N154" i="2"/>
  <c r="BW147" i="2"/>
  <c r="DG147" i="2"/>
  <c r="DO147" i="2"/>
  <c r="DW147" i="2"/>
  <c r="DC128" i="2"/>
  <c r="ED128" i="2" s="1"/>
  <c r="DE130" i="2"/>
  <c r="CF143" i="2"/>
  <c r="AE140" i="2"/>
  <c r="BD140" i="2" s="1"/>
  <c r="CM143" i="2"/>
  <c r="CM145" i="2" s="1"/>
  <c r="AC147" i="2"/>
  <c r="CJ154" i="2"/>
  <c r="AW143" i="2"/>
  <c r="AW148" i="2"/>
  <c r="I143" i="2"/>
  <c r="K154" i="2"/>
  <c r="ED21" i="1"/>
  <c r="CC21" i="1"/>
  <c r="DB21" i="1" s="1"/>
  <c r="DC87" i="1"/>
  <c r="AH104" i="1"/>
  <c r="BC142" i="1"/>
  <c r="DJ39" i="1"/>
  <c r="AE11" i="1"/>
  <c r="BD11" i="1" s="1"/>
  <c r="BG33" i="1"/>
  <c r="DK62" i="1"/>
  <c r="DT87" i="1"/>
  <c r="AJ149" i="1"/>
  <c r="DA149" i="1"/>
  <c r="DE21" i="1"/>
  <c r="DC21" i="1" s="1"/>
  <c r="CD23" i="1"/>
  <c r="CD25" i="1"/>
  <c r="CD33" i="1"/>
  <c r="CC33" i="1" s="1"/>
  <c r="DB33" i="1" s="1"/>
  <c r="BU147" i="1"/>
  <c r="BM42" i="1"/>
  <c r="AF46" i="1"/>
  <c r="AF48" i="1"/>
  <c r="DC64" i="1"/>
  <c r="EC65" i="1"/>
  <c r="CD65" i="1"/>
  <c r="CD75" i="1"/>
  <c r="CN80" i="1"/>
  <c r="CD83" i="1"/>
  <c r="AF84" i="1"/>
  <c r="AF85" i="1"/>
  <c r="CD90" i="1"/>
  <c r="AF102" i="1"/>
  <c r="CV104" i="1"/>
  <c r="CB146" i="1"/>
  <c r="AV142" i="1"/>
  <c r="AO142" i="1"/>
  <c r="CD136" i="1"/>
  <c r="CC136" i="1" s="1"/>
  <c r="DB136" i="1" s="1"/>
  <c r="DT94" i="1"/>
  <c r="DR44" i="1"/>
  <c r="DC95" i="1"/>
  <c r="BC147" i="1"/>
  <c r="DC59" i="1"/>
  <c r="ED59" i="1" s="1"/>
  <c r="DC62" i="1"/>
  <c r="ED62" i="1" s="1"/>
  <c r="CY80" i="1"/>
  <c r="CY144" i="1" s="1"/>
  <c r="AF16" i="1"/>
  <c r="EC16" i="1" s="1"/>
  <c r="DE26" i="1"/>
  <c r="DK41" i="1"/>
  <c r="CD54" i="1"/>
  <c r="AF77" i="1"/>
  <c r="AU80" i="1"/>
  <c r="BV86" i="1"/>
  <c r="BE86" i="1" s="1"/>
  <c r="EC86" i="1" s="1"/>
  <c r="AY104" i="1"/>
  <c r="BE99" i="1"/>
  <c r="EC99" i="1" s="1"/>
  <c r="DC106" i="1"/>
  <c r="DC112" i="1"/>
  <c r="ED112" i="1" s="1"/>
  <c r="BE118" i="1"/>
  <c r="BU124" i="1"/>
  <c r="DL126" i="1"/>
  <c r="CD128" i="1"/>
  <c r="CC128" i="1" s="1"/>
  <c r="DB128" i="1" s="1"/>
  <c r="CD129" i="1"/>
  <c r="CC129" i="1" s="1"/>
  <c r="DB129" i="1" s="1"/>
  <c r="AL153" i="1"/>
  <c r="DC25" i="1"/>
  <c r="DT48" i="1"/>
  <c r="DT80" i="1" s="1"/>
  <c r="BM79" i="1"/>
  <c r="BY112" i="1"/>
  <c r="AX151" i="1"/>
  <c r="CV151" i="1"/>
  <c r="BE59" i="1"/>
  <c r="EC59" i="1" s="1"/>
  <c r="DC84" i="1"/>
  <c r="CD96" i="1"/>
  <c r="CC96" i="1" s="1"/>
  <c r="DB96" i="1" s="1"/>
  <c r="BV110" i="1"/>
  <c r="BV148" i="1" s="1"/>
  <c r="AW121" i="1"/>
  <c r="CH121" i="1"/>
  <c r="CH144" i="1" s="1"/>
  <c r="DM124" i="1"/>
  <c r="DM146" i="1" s="1"/>
  <c r="AF126" i="1"/>
  <c r="BM53" i="1"/>
  <c r="BE53" i="1" s="1"/>
  <c r="EC53" i="1" s="1"/>
  <c r="CF17" i="1"/>
  <c r="AF34" i="1"/>
  <c r="AE34" i="1" s="1"/>
  <c r="BD34" i="1" s="1"/>
  <c r="AG144" i="1"/>
  <c r="CD46" i="1"/>
  <c r="BZ48" i="1"/>
  <c r="AF56" i="1"/>
  <c r="CD64" i="1"/>
  <c r="CC64" i="1" s="1"/>
  <c r="DB64" i="1" s="1"/>
  <c r="DC65" i="1"/>
  <c r="ED65" i="1" s="1"/>
  <c r="AX80" i="1"/>
  <c r="CB88" i="1"/>
  <c r="BX102" i="1"/>
  <c r="DZ103" i="1"/>
  <c r="CD117" i="1"/>
  <c r="CC117" i="1" s="1"/>
  <c r="DB117" i="1" s="1"/>
  <c r="CB125" i="1"/>
  <c r="CB142" i="1" s="1"/>
  <c r="BT126" i="1"/>
  <c r="EC6" i="1"/>
  <c r="CC34" i="1"/>
  <c r="DB34" i="1" s="1"/>
  <c r="BH23" i="1"/>
  <c r="BE23" i="1" s="1"/>
  <c r="AF23" i="1"/>
  <c r="BE33" i="1"/>
  <c r="EC33" i="1" s="1"/>
  <c r="EB35" i="1"/>
  <c r="BM151" i="1"/>
  <c r="BM39" i="1"/>
  <c r="BE7" i="1"/>
  <c r="CC36" i="1"/>
  <c r="DB36" i="1" s="1"/>
  <c r="V144" i="1"/>
  <c r="V154" i="1" s="1"/>
  <c r="CW45" i="1"/>
  <c r="DV45" i="1" s="1"/>
  <c r="CD45" i="1"/>
  <c r="DK45" i="1"/>
  <c r="BE50" i="1"/>
  <c r="EC50" i="1" s="1"/>
  <c r="BE61" i="1"/>
  <c r="DJ104" i="1"/>
  <c r="DZ110" i="1"/>
  <c r="CB110" i="1"/>
  <c r="AD121" i="1"/>
  <c r="BF151" i="1"/>
  <c r="BF39" i="1"/>
  <c r="BO151" i="1"/>
  <c r="BW39" i="1"/>
  <c r="DC4" i="1"/>
  <c r="ED4" i="1" s="1"/>
  <c r="DL39" i="1"/>
  <c r="AE6" i="1"/>
  <c r="BD6" i="1" s="1"/>
  <c r="ED6" i="1"/>
  <c r="DT8" i="1"/>
  <c r="DC8" i="1" s="1"/>
  <c r="ED8" i="1" s="1"/>
  <c r="DZ10" i="1"/>
  <c r="CB10" i="1"/>
  <c r="BI149" i="1"/>
  <c r="BE14" i="1"/>
  <c r="EC14" i="1" s="1"/>
  <c r="BF149" i="1"/>
  <c r="BE15" i="1"/>
  <c r="EC15" i="1" s="1"/>
  <c r="AE24" i="1"/>
  <c r="BD24" i="1" s="1"/>
  <c r="CC24" i="1"/>
  <c r="DB24" i="1" s="1"/>
  <c r="CB32" i="1"/>
  <c r="CB151" i="1" s="1"/>
  <c r="DZ32" i="1"/>
  <c r="G32" i="1"/>
  <c r="AE36" i="1"/>
  <c r="BD36" i="1" s="1"/>
  <c r="AE37" i="1"/>
  <c r="BD37" i="1" s="1"/>
  <c r="CD37" i="1"/>
  <c r="DT37" i="1"/>
  <c r="DC37" i="1" s="1"/>
  <c r="DH150" i="1"/>
  <c r="DH80" i="1"/>
  <c r="DH144" i="1" s="1"/>
  <c r="BF80" i="1"/>
  <c r="CC65" i="1"/>
  <c r="DB65" i="1" s="1"/>
  <c r="BX69" i="1"/>
  <c r="BE69" i="1" s="1"/>
  <c r="AF69" i="1"/>
  <c r="Z152" i="1"/>
  <c r="DV92" i="1"/>
  <c r="BX92" i="1"/>
  <c r="BX104" i="1" s="1"/>
  <c r="Z104" i="1"/>
  <c r="BC148" i="1"/>
  <c r="CB109" i="1"/>
  <c r="BC121" i="1"/>
  <c r="CD15" i="1"/>
  <c r="DE15" i="1"/>
  <c r="AI151" i="1"/>
  <c r="AI153" i="1" s="1"/>
  <c r="AI39" i="1"/>
  <c r="AI144" i="1" s="1"/>
  <c r="BH21" i="1"/>
  <c r="BE21" i="1" s="1"/>
  <c r="AF21" i="1"/>
  <c r="CC26" i="1"/>
  <c r="DB26" i="1" s="1"/>
  <c r="BU151" i="1"/>
  <c r="BU39" i="1"/>
  <c r="DA151" i="1"/>
  <c r="DA39" i="1"/>
  <c r="EB10" i="1"/>
  <c r="BN149" i="1"/>
  <c r="U154" i="1"/>
  <c r="BH149" i="1"/>
  <c r="BQ63" i="1"/>
  <c r="DO63" i="1"/>
  <c r="DW151" i="1"/>
  <c r="DW39" i="1"/>
  <c r="BV12" i="1"/>
  <c r="BE12" i="1" s="1"/>
  <c r="AF12" i="1"/>
  <c r="BY149" i="1"/>
  <c r="EB20" i="1"/>
  <c r="EC25" i="1"/>
  <c r="AE25" i="1"/>
  <c r="BD25" i="1" s="1"/>
  <c r="ED30" i="1"/>
  <c r="CC30" i="1"/>
  <c r="DB30" i="1" s="1"/>
  <c r="AE31" i="1"/>
  <c r="BD31" i="1" s="1"/>
  <c r="DC31" i="1"/>
  <c r="ED31" i="1" s="1"/>
  <c r="CC32" i="1"/>
  <c r="DB32" i="1" s="1"/>
  <c r="DE34" i="1"/>
  <c r="DC34" i="1" s="1"/>
  <c r="ED34" i="1" s="1"/>
  <c r="DC36" i="1"/>
  <c r="ED36" i="1" s="1"/>
  <c r="O144" i="1"/>
  <c r="O154" i="1" s="1"/>
  <c r="BY80" i="1"/>
  <c r="DV54" i="1"/>
  <c r="DC54" i="1" s="1"/>
  <c r="G54" i="1"/>
  <c r="EB54" i="1" s="1"/>
  <c r="BX54" i="1"/>
  <c r="BE54" i="1" s="1"/>
  <c r="EC54" i="1" s="1"/>
  <c r="BV87" i="1"/>
  <c r="AW104" i="1"/>
  <c r="AF87" i="1"/>
  <c r="BE102" i="1"/>
  <c r="V147" i="1"/>
  <c r="BT125" i="1"/>
  <c r="DR125" i="1"/>
  <c r="CC4" i="1"/>
  <c r="DB4" i="1" s="1"/>
  <c r="DI151" i="1"/>
  <c r="DI39" i="1"/>
  <c r="DQ151" i="1"/>
  <c r="CC5" i="1"/>
  <c r="DB5" i="1" s="1"/>
  <c r="CZ151" i="1"/>
  <c r="CZ39" i="1"/>
  <c r="CD11" i="1"/>
  <c r="DY11" i="1"/>
  <c r="DC11" i="1" s="1"/>
  <c r="DK46" i="1"/>
  <c r="DC46" i="1" s="1"/>
  <c r="ED46" i="1" s="1"/>
  <c r="G46" i="1"/>
  <c r="EB46" i="1" s="1"/>
  <c r="BM46" i="1"/>
  <c r="CC46" i="1"/>
  <c r="DB46" i="1" s="1"/>
  <c r="EB56" i="1"/>
  <c r="AE56" i="1"/>
  <c r="BD56" i="1" s="1"/>
  <c r="DV78" i="1"/>
  <c r="DC78" i="1" s="1"/>
  <c r="ED78" i="1" s="1"/>
  <c r="BX78" i="1"/>
  <c r="BE78" i="1" s="1"/>
  <c r="EC78" i="1" s="1"/>
  <c r="G78" i="1"/>
  <c r="EB78" i="1" s="1"/>
  <c r="BK80" i="1"/>
  <c r="CU151" i="1"/>
  <c r="CU39" i="1"/>
  <c r="DT4" i="1"/>
  <c r="AE5" i="1"/>
  <c r="BD5" i="1" s="1"/>
  <c r="ED9" i="1"/>
  <c r="CN151" i="1"/>
  <c r="CN39" i="1"/>
  <c r="BE20" i="1"/>
  <c r="EC20" i="1" s="1"/>
  <c r="EB27" i="1"/>
  <c r="AE27" i="1"/>
  <c r="BD27" i="1" s="1"/>
  <c r="BE32" i="1"/>
  <c r="EC32" i="1" s="1"/>
  <c r="EC34" i="1"/>
  <c r="P147" i="1"/>
  <c r="P39" i="1"/>
  <c r="DL35" i="1"/>
  <c r="DL147" i="1" s="1"/>
  <c r="BN35" i="1"/>
  <c r="BN39" i="1" s="1"/>
  <c r="DD147" i="1"/>
  <c r="BX110" i="1"/>
  <c r="G110" i="1"/>
  <c r="EB110" i="1" s="1"/>
  <c r="Z121" i="1"/>
  <c r="DV110" i="1"/>
  <c r="DC110" i="1" s="1"/>
  <c r="BN151" i="1"/>
  <c r="AD149" i="1"/>
  <c r="DZ17" i="1"/>
  <c r="CB17" i="1"/>
  <c r="BE17" i="1" s="1"/>
  <c r="CC27" i="1"/>
  <c r="DB27" i="1" s="1"/>
  <c r="AE33" i="1"/>
  <c r="BD33" i="1" s="1"/>
  <c r="BX39" i="1"/>
  <c r="DM151" i="1"/>
  <c r="DM39" i="1"/>
  <c r="BI39" i="1"/>
  <c r="CC14" i="1"/>
  <c r="DB14" i="1" s="1"/>
  <c r="BX149" i="1"/>
  <c r="AE28" i="1"/>
  <c r="BD28" i="1" s="1"/>
  <c r="CC28" i="1"/>
  <c r="DB28" i="1" s="1"/>
  <c r="DZ34" i="1"/>
  <c r="CB34" i="1"/>
  <c r="BL150" i="1"/>
  <c r="BL80" i="1"/>
  <c r="BE40" i="1"/>
  <c r="BT150" i="1"/>
  <c r="DC116" i="1"/>
  <c r="ED116" i="1" s="1"/>
  <c r="CC138" i="1"/>
  <c r="DB138" i="1" s="1"/>
  <c r="AE139" i="1"/>
  <c r="BD139" i="1" s="1"/>
  <c r="G39" i="1"/>
  <c r="EB4" i="1"/>
  <c r="BQ39" i="1"/>
  <c r="CC7" i="1"/>
  <c r="DB7" i="1" s="1"/>
  <c r="DR39" i="1"/>
  <c r="CH149" i="1"/>
  <c r="DG14" i="1"/>
  <c r="DC18" i="1"/>
  <c r="ED18" i="1" s="1"/>
  <c r="AE19" i="1"/>
  <c r="BD19" i="1" s="1"/>
  <c r="EB19" i="1"/>
  <c r="CC19" i="1"/>
  <c r="DB19" i="1" s="1"/>
  <c r="ED25" i="1"/>
  <c r="CC25" i="1"/>
  <c r="DB25" i="1" s="1"/>
  <c r="CB26" i="1"/>
  <c r="BE26" i="1" s="1"/>
  <c r="EC26" i="1" s="1"/>
  <c r="G26" i="1"/>
  <c r="AD39" i="1"/>
  <c r="BR39" i="1"/>
  <c r="DG151" i="1"/>
  <c r="DG39" i="1"/>
  <c r="DO151" i="1"/>
  <c r="DO39" i="1"/>
  <c r="DX151" i="1"/>
  <c r="DX39" i="1"/>
  <c r="BE5" i="1"/>
  <c r="EC5" i="1" s="1"/>
  <c r="BE6" i="1"/>
  <c r="BE9" i="1"/>
  <c r="EC9" i="1" s="1"/>
  <c r="CA39" i="1"/>
  <c r="DM10" i="1"/>
  <c r="DI149" i="1"/>
  <c r="DQ149" i="1"/>
  <c r="EC19" i="1"/>
  <c r="DC19" i="1"/>
  <c r="ED19" i="1" s="1"/>
  <c r="DT20" i="1"/>
  <c r="DC20" i="1" s="1"/>
  <c r="CD20" i="1"/>
  <c r="DF22" i="1"/>
  <c r="DC22" i="1" s="1"/>
  <c r="CD22" i="1"/>
  <c r="BE24" i="1"/>
  <c r="EC24" i="1" s="1"/>
  <c r="DC27" i="1"/>
  <c r="ED27" i="1" s="1"/>
  <c r="BE31" i="1"/>
  <c r="EC31" i="1" s="1"/>
  <c r="AO147" i="1"/>
  <c r="AO39" i="1"/>
  <c r="BO39" i="1"/>
  <c r="Z80" i="1"/>
  <c r="CC66" i="1"/>
  <c r="DB66" i="1" s="1"/>
  <c r="CC86" i="1"/>
  <c r="DB86" i="1" s="1"/>
  <c r="AJ152" i="1"/>
  <c r="BI101" i="1"/>
  <c r="BI104" i="1" s="1"/>
  <c r="R142" i="1"/>
  <c r="R146" i="1"/>
  <c r="BP123" i="1"/>
  <c r="BP146" i="1" s="1"/>
  <c r="DN123" i="1"/>
  <c r="BE4" i="1"/>
  <c r="BP149" i="1"/>
  <c r="EC22" i="1"/>
  <c r="DR150" i="1"/>
  <c r="DR80" i="1"/>
  <c r="AW151" i="1"/>
  <c r="AF4" i="1"/>
  <c r="AW39" i="1"/>
  <c r="BK151" i="1"/>
  <c r="BK39" i="1"/>
  <c r="BS151" i="1"/>
  <c r="BS39" i="1"/>
  <c r="DH151" i="1"/>
  <c r="DP151" i="1"/>
  <c r="DP39" i="1"/>
  <c r="DZ4" i="1"/>
  <c r="BP39" i="1"/>
  <c r="EC7" i="1"/>
  <c r="DC7" i="1"/>
  <c r="ED7" i="1" s="1"/>
  <c r="X151" i="1"/>
  <c r="BV13" i="1"/>
  <c r="BE13" i="1" s="1"/>
  <c r="EC13" i="1" s="1"/>
  <c r="X39" i="1"/>
  <c r="X144" i="1" s="1"/>
  <c r="DT13" i="1"/>
  <c r="DC13" i="1" s="1"/>
  <c r="ED13" i="1" s="1"/>
  <c r="G13" i="1"/>
  <c r="G151" i="1" s="1"/>
  <c r="EB151" i="1" s="1"/>
  <c r="G149" i="1"/>
  <c r="EB149" i="1" s="1"/>
  <c r="EB14" i="1"/>
  <c r="BE19" i="1"/>
  <c r="DZ26" i="1"/>
  <c r="AQ147" i="1"/>
  <c r="AQ39" i="1"/>
  <c r="BE36" i="1"/>
  <c r="EC36" i="1" s="1"/>
  <c r="BG80" i="1"/>
  <c r="DC42" i="1"/>
  <c r="DF80" i="1"/>
  <c r="BM66" i="1"/>
  <c r="AF66" i="1"/>
  <c r="DC122" i="1"/>
  <c r="BT146" i="1"/>
  <c r="BI150" i="1"/>
  <c r="BI80" i="1"/>
  <c r="CC41" i="1"/>
  <c r="DB41" i="1" s="1"/>
  <c r="DI80" i="1"/>
  <c r="AE52" i="1"/>
  <c r="BD52" i="1" s="1"/>
  <c r="BE58" i="1"/>
  <c r="EC58" i="1" s="1"/>
  <c r="DC67" i="1"/>
  <c r="DC70" i="1"/>
  <c r="ED70" i="1" s="1"/>
  <c r="G71" i="1"/>
  <c r="EB71" i="1" s="1"/>
  <c r="DK71" i="1"/>
  <c r="DC71" i="1" s="1"/>
  <c r="ED71" i="1" s="1"/>
  <c r="BM71" i="1"/>
  <c r="CC73" i="1"/>
  <c r="DB73" i="1" s="1"/>
  <c r="DC74" i="1"/>
  <c r="ED74" i="1" s="1"/>
  <c r="BM152" i="1"/>
  <c r="BM104" i="1"/>
  <c r="CC87" i="1"/>
  <c r="DB87" i="1" s="1"/>
  <c r="CC103" i="1"/>
  <c r="DB103" i="1" s="1"/>
  <c r="BC151" i="1"/>
  <c r="BL151" i="1"/>
  <c r="BT151" i="1"/>
  <c r="BT39" i="1"/>
  <c r="DN151" i="1"/>
  <c r="DN39" i="1"/>
  <c r="DV151" i="1"/>
  <c r="DV39" i="1"/>
  <c r="BO149" i="1"/>
  <c r="BW149" i="1"/>
  <c r="DJ149" i="1"/>
  <c r="DR149" i="1"/>
  <c r="AH151" i="1"/>
  <c r="I151" i="1"/>
  <c r="I39" i="1"/>
  <c r="I144" i="1" s="1"/>
  <c r="CB27" i="1"/>
  <c r="BE27" i="1" s="1"/>
  <c r="EC27" i="1" s="1"/>
  <c r="BG28" i="1"/>
  <c r="BE28" i="1" s="1"/>
  <c r="EC28" i="1" s="1"/>
  <c r="AN39" i="1"/>
  <c r="AN147" i="1"/>
  <c r="O80" i="1"/>
  <c r="DP80" i="1"/>
  <c r="AY150" i="1"/>
  <c r="AY80" i="1"/>
  <c r="CW150" i="1"/>
  <c r="CW80" i="1"/>
  <c r="CD43" i="1"/>
  <c r="DK43" i="1"/>
  <c r="DC43" i="1" s="1"/>
  <c r="DQ44" i="1"/>
  <c r="DQ150" i="1" s="1"/>
  <c r="EC49" i="1"/>
  <c r="DV52" i="1"/>
  <c r="DC52" i="1" s="1"/>
  <c r="ED52" i="1" s="1"/>
  <c r="CR80" i="1"/>
  <c r="BN152" i="1"/>
  <c r="BN104" i="1"/>
  <c r="ED87" i="1"/>
  <c r="BE94" i="1"/>
  <c r="AE103" i="1"/>
  <c r="BD103" i="1" s="1"/>
  <c r="BO121" i="1"/>
  <c r="BM128" i="1"/>
  <c r="AF128" i="1"/>
  <c r="AH142" i="1"/>
  <c r="BG129" i="1"/>
  <c r="BG142" i="1" s="1"/>
  <c r="AF129" i="1"/>
  <c r="AH147" i="1"/>
  <c r="BB142" i="1"/>
  <c r="BR149" i="1"/>
  <c r="DM149" i="1"/>
  <c r="CV149" i="1"/>
  <c r="CV39" i="1"/>
  <c r="CC35" i="1"/>
  <c r="DB35" i="1" s="1"/>
  <c r="BE44" i="1"/>
  <c r="AE46" i="1"/>
  <c r="BD46" i="1" s="1"/>
  <c r="DZ63" i="1"/>
  <c r="CB63" i="1"/>
  <c r="BE63" i="1" s="1"/>
  <c r="EC63" i="1" s="1"/>
  <c r="DD146" i="1"/>
  <c r="DD142" i="1"/>
  <c r="DR151" i="1"/>
  <c r="BK149" i="1"/>
  <c r="CB149" i="1"/>
  <c r="DN149" i="1"/>
  <c r="AF17" i="1"/>
  <c r="CF151" i="1"/>
  <c r="DE28" i="1"/>
  <c r="DC28" i="1" s="1"/>
  <c r="ED28" i="1" s="1"/>
  <c r="DE32" i="1"/>
  <c r="DC32" i="1" s="1"/>
  <c r="ED32" i="1" s="1"/>
  <c r="CK147" i="1"/>
  <c r="CK153" i="1" s="1"/>
  <c r="CK39" i="1"/>
  <c r="CK144" i="1" s="1"/>
  <c r="DZ35" i="1"/>
  <c r="H144" i="1"/>
  <c r="BV80" i="1"/>
  <c r="CC50" i="1"/>
  <c r="DB50" i="1" s="1"/>
  <c r="CC54" i="1"/>
  <c r="DB54" i="1" s="1"/>
  <c r="AE58" i="1"/>
  <c r="BD58" i="1" s="1"/>
  <c r="CC58" i="1"/>
  <c r="DB58" i="1" s="1"/>
  <c r="BE64" i="1"/>
  <c r="BE71" i="1"/>
  <c r="EC71" i="1" s="1"/>
  <c r="AE78" i="1"/>
  <c r="BD78" i="1" s="1"/>
  <c r="DA80" i="1"/>
  <c r="ED99" i="1"/>
  <c r="CC99" i="1"/>
  <c r="DB99" i="1" s="1"/>
  <c r="AE100" i="1"/>
  <c r="BD100" i="1" s="1"/>
  <c r="AE102" i="1"/>
  <c r="BD102" i="1" s="1"/>
  <c r="DJ148" i="1"/>
  <c r="DJ121" i="1"/>
  <c r="DR148" i="1"/>
  <c r="DR121" i="1"/>
  <c r="CD111" i="1"/>
  <c r="DA121" i="1"/>
  <c r="DQ121" i="1"/>
  <c r="DN126" i="1"/>
  <c r="BZ149" i="1"/>
  <c r="DU149" i="1"/>
  <c r="CC31" i="1"/>
  <c r="DB31" i="1" s="1"/>
  <c r="BG34" i="1"/>
  <c r="BE34" i="1" s="1"/>
  <c r="U147" i="1"/>
  <c r="BS35" i="1"/>
  <c r="BM45" i="1"/>
  <c r="AF45" i="1"/>
  <c r="G57" i="1"/>
  <c r="EB57" i="1" s="1"/>
  <c r="DV57" i="1"/>
  <c r="DC57" i="1" s="1"/>
  <c r="ED57" i="1" s="1"/>
  <c r="DV79" i="1"/>
  <c r="BX79" i="1"/>
  <c r="G79" i="1"/>
  <c r="EB79" i="1" s="1"/>
  <c r="BP151" i="1"/>
  <c r="DJ151" i="1"/>
  <c r="AH149" i="1"/>
  <c r="AH39" i="1"/>
  <c r="AH144" i="1" s="1"/>
  <c r="BS149" i="1"/>
  <c r="DF149" i="1"/>
  <c r="DV149" i="1"/>
  <c r="BQ151" i="1"/>
  <c r="BY151" i="1"/>
  <c r="DK151" i="1"/>
  <c r="DS151" i="1"/>
  <c r="BI151" i="1"/>
  <c r="BB151" i="1"/>
  <c r="BB39" i="1"/>
  <c r="CA11" i="1"/>
  <c r="BE11" i="1" s="1"/>
  <c r="EC11" i="1" s="1"/>
  <c r="BL149" i="1"/>
  <c r="BT149" i="1"/>
  <c r="DO149" i="1"/>
  <c r="DW149" i="1"/>
  <c r="CG151" i="1"/>
  <c r="BL35" i="1"/>
  <c r="BL147" i="1" s="1"/>
  <c r="CL147" i="1"/>
  <c r="DK35" i="1"/>
  <c r="DK39" i="1" s="1"/>
  <c r="DQ35" i="1"/>
  <c r="DQ147" i="1" s="1"/>
  <c r="AM39" i="1"/>
  <c r="AM144" i="1" s="1"/>
  <c r="BG150" i="1"/>
  <c r="BO150" i="1"/>
  <c r="BO80" i="1"/>
  <c r="BW150" i="1"/>
  <c r="BW80" i="1"/>
  <c r="DD150" i="1"/>
  <c r="DC40" i="1"/>
  <c r="DD80" i="1"/>
  <c r="BX41" i="1"/>
  <c r="DV41" i="1"/>
  <c r="DC41" i="1" s="1"/>
  <c r="ED41" i="1" s="1"/>
  <c r="Z150" i="1"/>
  <c r="CD44" i="1"/>
  <c r="CP150" i="1"/>
  <c r="CP153" i="1" s="1"/>
  <c r="CD48" i="1"/>
  <c r="CC52" i="1"/>
  <c r="DB52" i="1" s="1"/>
  <c r="CD61" i="1"/>
  <c r="DV61" i="1"/>
  <c r="AE62" i="1"/>
  <c r="BD62" i="1" s="1"/>
  <c r="CC62" i="1"/>
  <c r="DB62" i="1" s="1"/>
  <c r="BP66" i="1"/>
  <c r="BP80" i="1" s="1"/>
  <c r="DC77" i="1"/>
  <c r="ED77" i="1" s="1"/>
  <c r="CF152" i="1"/>
  <c r="DA81" i="1"/>
  <c r="DE81" i="1"/>
  <c r="CF104" i="1"/>
  <c r="BO104" i="1"/>
  <c r="BW104" i="1"/>
  <c r="AF90" i="1"/>
  <c r="CB90" i="1"/>
  <c r="DC90" i="1"/>
  <c r="ED90" i="1" s="1"/>
  <c r="DD104" i="1"/>
  <c r="CX148" i="1"/>
  <c r="DW105" i="1"/>
  <c r="CX121" i="1"/>
  <c r="CX144" i="1" s="1"/>
  <c r="CD105" i="1"/>
  <c r="DK148" i="1"/>
  <c r="DK121" i="1"/>
  <c r="DS148" i="1"/>
  <c r="DS121" i="1"/>
  <c r="DC111" i="1"/>
  <c r="AC142" i="1"/>
  <c r="AC144" i="1" s="1"/>
  <c r="AC154" i="1" s="1"/>
  <c r="CA124" i="1"/>
  <c r="DY124" i="1"/>
  <c r="AC146" i="1"/>
  <c r="AC153" i="1" s="1"/>
  <c r="DK124" i="1"/>
  <c r="DK142" i="1" s="1"/>
  <c r="CD124" i="1"/>
  <c r="DO142" i="1"/>
  <c r="DC129" i="1"/>
  <c r="ED129" i="1" s="1"/>
  <c r="CR153" i="1"/>
  <c r="BJ149" i="1"/>
  <c r="DE24" i="1"/>
  <c r="DC24" i="1" s="1"/>
  <c r="ED24" i="1" s="1"/>
  <c r="DJ150" i="1"/>
  <c r="DC45" i="1"/>
  <c r="CD60" i="1"/>
  <c r="DK60" i="1"/>
  <c r="DC60" i="1" s="1"/>
  <c r="AD80" i="1"/>
  <c r="BG82" i="1"/>
  <c r="AF82" i="1"/>
  <c r="G100" i="1"/>
  <c r="DT100" i="1"/>
  <c r="DC100" i="1" s="1"/>
  <c r="ED100" i="1" s="1"/>
  <c r="BV100" i="1"/>
  <c r="BE100" i="1" s="1"/>
  <c r="EC100" i="1" s="1"/>
  <c r="BF142" i="1"/>
  <c r="BE122" i="1"/>
  <c r="V142" i="1"/>
  <c r="BU146" i="1"/>
  <c r="BU142" i="1"/>
  <c r="AD151" i="1"/>
  <c r="BX151" i="1"/>
  <c r="BJ151" i="1"/>
  <c r="BJ39" i="1"/>
  <c r="BR151" i="1"/>
  <c r="BZ151" i="1"/>
  <c r="DD151" i="1"/>
  <c r="DD39" i="1"/>
  <c r="DL151" i="1"/>
  <c r="BM149" i="1"/>
  <c r="BU149" i="1"/>
  <c r="DH149" i="1"/>
  <c r="DP149" i="1"/>
  <c r="DX149" i="1"/>
  <c r="BV18" i="1"/>
  <c r="CU149" i="1"/>
  <c r="DC33" i="1"/>
  <c r="AF35" i="1"/>
  <c r="CT147" i="1"/>
  <c r="DS35" i="1"/>
  <c r="DS147" i="1" s="1"/>
  <c r="K144" i="1"/>
  <c r="K154" i="1" s="1"/>
  <c r="AX39" i="1"/>
  <c r="CG39" i="1"/>
  <c r="CG144" i="1" s="1"/>
  <c r="BH80" i="1"/>
  <c r="DA150" i="1"/>
  <c r="CD42" i="1"/>
  <c r="BE57" i="1"/>
  <c r="EC57" i="1" s="1"/>
  <c r="AF61" i="1"/>
  <c r="DC66" i="1"/>
  <c r="ED66" i="1" s="1"/>
  <c r="DN66" i="1"/>
  <c r="ED67" i="1"/>
  <c r="DZ75" i="1"/>
  <c r="CB75" i="1"/>
  <c r="BX77" i="1"/>
  <c r="BE77" i="1" s="1"/>
  <c r="EC77" i="1" s="1"/>
  <c r="DV77" i="1"/>
  <c r="CP80" i="1"/>
  <c r="CP144" i="1" s="1"/>
  <c r="DJ80" i="1"/>
  <c r="BL104" i="1"/>
  <c r="BL152" i="1"/>
  <c r="BT152" i="1"/>
  <c r="BT104" i="1"/>
  <c r="DM152" i="1"/>
  <c r="DM104" i="1"/>
  <c r="DR104" i="1"/>
  <c r="W104" i="1"/>
  <c r="BU88" i="1"/>
  <c r="BE88" i="1" s="1"/>
  <c r="G88" i="1"/>
  <c r="EB88" i="1" s="1"/>
  <c r="W152" i="1"/>
  <c r="CT88" i="1"/>
  <c r="DS88" i="1" s="1"/>
  <c r="DZ88" i="1"/>
  <c r="BE89" i="1"/>
  <c r="BG96" i="1"/>
  <c r="BE96" i="1" s="1"/>
  <c r="AF96" i="1"/>
  <c r="DV97" i="1"/>
  <c r="DC97" i="1" s="1"/>
  <c r="ED97" i="1" s="1"/>
  <c r="CW104" i="1"/>
  <c r="ED107" i="1"/>
  <c r="CC107" i="1"/>
  <c r="DB107" i="1" s="1"/>
  <c r="CB127" i="1"/>
  <c r="DZ127" i="1"/>
  <c r="CH147" i="1"/>
  <c r="CD131" i="1"/>
  <c r="DG131" i="1"/>
  <c r="DC131" i="1" s="1"/>
  <c r="CC137" i="1"/>
  <c r="DB137" i="1" s="1"/>
  <c r="ED137" i="1"/>
  <c r="EC137" i="1"/>
  <c r="CG153" i="1"/>
  <c r="DL150" i="1"/>
  <c r="DT150" i="1"/>
  <c r="G41" i="1"/>
  <c r="EB41" i="1" s="1"/>
  <c r="AD150" i="1"/>
  <c r="V150" i="1"/>
  <c r="BT44" i="1"/>
  <c r="BT80" i="1" s="1"/>
  <c r="DK50" i="1"/>
  <c r="DC50" i="1" s="1"/>
  <c r="ED50" i="1" s="1"/>
  <c r="BE51" i="1"/>
  <c r="EC51" i="1" s="1"/>
  <c r="BX52" i="1"/>
  <c r="BE52" i="1" s="1"/>
  <c r="EC52" i="1" s="1"/>
  <c r="DC53" i="1"/>
  <c r="ED53" i="1" s="1"/>
  <c r="DK56" i="1"/>
  <c r="DC56" i="1" s="1"/>
  <c r="CD56" i="1"/>
  <c r="AO150" i="1"/>
  <c r="AO80" i="1"/>
  <c r="AV150" i="1"/>
  <c r="BU72" i="1"/>
  <c r="BU80" i="1" s="1"/>
  <c r="AF72" i="1"/>
  <c r="CC74" i="1"/>
  <c r="DB74" i="1" s="1"/>
  <c r="BE76" i="1"/>
  <c r="EC76" i="1" s="1"/>
  <c r="DC76" i="1"/>
  <c r="ED76" i="1" s="1"/>
  <c r="DK77" i="1"/>
  <c r="G77" i="1"/>
  <c r="EB77" i="1" s="1"/>
  <c r="CC78" i="1"/>
  <c r="DB78" i="1" s="1"/>
  <c r="BF152" i="1"/>
  <c r="BF104" i="1"/>
  <c r="DC89" i="1"/>
  <c r="DN104" i="1"/>
  <c r="BE90" i="1"/>
  <c r="EB95" i="1"/>
  <c r="AE95" i="1"/>
  <c r="BD95" i="1" s="1"/>
  <c r="BE97" i="1"/>
  <c r="EC97" i="1" s="1"/>
  <c r="DC98" i="1"/>
  <c r="DC103" i="1"/>
  <c r="ED103" i="1" s="1"/>
  <c r="BE105" i="1"/>
  <c r="BN148" i="1"/>
  <c r="BN121" i="1"/>
  <c r="BV121" i="1"/>
  <c r="DL148" i="1"/>
  <c r="DL121" i="1"/>
  <c r="DT148" i="1"/>
  <c r="AE118" i="1"/>
  <c r="BD118" i="1" s="1"/>
  <c r="EC118" i="1"/>
  <c r="BQ142" i="1"/>
  <c r="BY142" i="1"/>
  <c r="DH142" i="1"/>
  <c r="DX142" i="1"/>
  <c r="BE138" i="1"/>
  <c r="EC138" i="1" s="1"/>
  <c r="BY150" i="1"/>
  <c r="DN150" i="1"/>
  <c r="DN80" i="1"/>
  <c r="BE47" i="1"/>
  <c r="EC47" i="1" s="1"/>
  <c r="DC47" i="1"/>
  <c r="ED47" i="1" s="1"/>
  <c r="S150" i="1"/>
  <c r="BQ48" i="1"/>
  <c r="BE48" i="1" s="1"/>
  <c r="DO48" i="1"/>
  <c r="S80" i="1"/>
  <c r="S144" i="1" s="1"/>
  <c r="S154" i="1" s="1"/>
  <c r="G48" i="1"/>
  <c r="EB48" i="1" s="1"/>
  <c r="BM55" i="1"/>
  <c r="BE55" i="1" s="1"/>
  <c r="AF55" i="1"/>
  <c r="AE57" i="1"/>
  <c r="BD57" i="1" s="1"/>
  <c r="CC59" i="1"/>
  <c r="DB59" i="1" s="1"/>
  <c r="BM60" i="1"/>
  <c r="BE60" i="1" s="1"/>
  <c r="AF60" i="1"/>
  <c r="BE62" i="1"/>
  <c r="EC62" i="1" s="1"/>
  <c r="DC69" i="1"/>
  <c r="DV73" i="1"/>
  <c r="DC73" i="1" s="1"/>
  <c r="ED73" i="1" s="1"/>
  <c r="DL80" i="1"/>
  <c r="EB81" i="1"/>
  <c r="DI152" i="1"/>
  <c r="DI104" i="1"/>
  <c r="DQ152" i="1"/>
  <c r="DQ104" i="1"/>
  <c r="DC107" i="1"/>
  <c r="BW110" i="1"/>
  <c r="AF110" i="1"/>
  <c r="AX148" i="1"/>
  <c r="AX121" i="1"/>
  <c r="AE115" i="1"/>
  <c r="BD115" i="1" s="1"/>
  <c r="BE127" i="1"/>
  <c r="AM153" i="1"/>
  <c r="AV147" i="1"/>
  <c r="AV39" i="1"/>
  <c r="BJ147" i="1"/>
  <c r="DE147" i="1"/>
  <c r="DW147" i="1"/>
  <c r="AR144" i="1"/>
  <c r="BA144" i="1"/>
  <c r="BA154" i="1" s="1"/>
  <c r="DF150" i="1"/>
  <c r="DW150" i="1"/>
  <c r="DW80" i="1"/>
  <c r="AF41" i="1"/>
  <c r="CB42" i="1"/>
  <c r="AS150" i="1"/>
  <c r="AS153" i="1" s="1"/>
  <c r="AF44" i="1"/>
  <c r="AB150" i="1"/>
  <c r="DX48" i="1"/>
  <c r="AQ150" i="1"/>
  <c r="AQ80" i="1"/>
  <c r="CB61" i="1"/>
  <c r="DZ61" i="1"/>
  <c r="DC61" i="1" s="1"/>
  <c r="CV150" i="1"/>
  <c r="CV80" i="1"/>
  <c r="DU63" i="1"/>
  <c r="DU80" i="1" s="1"/>
  <c r="AF64" i="1"/>
  <c r="CM150" i="1"/>
  <c r="CM80" i="1"/>
  <c r="AE73" i="1"/>
  <c r="BD73" i="1" s="1"/>
  <c r="DK75" i="1"/>
  <c r="DK79" i="1"/>
  <c r="DC79" i="1" s="1"/>
  <c r="CD79" i="1"/>
  <c r="AB80" i="1"/>
  <c r="AB144" i="1" s="1"/>
  <c r="AB154" i="1" s="1"/>
  <c r="BJ152" i="1"/>
  <c r="BJ104" i="1"/>
  <c r="BR152" i="1"/>
  <c r="BR104" i="1"/>
  <c r="BZ152" i="1"/>
  <c r="BZ104" i="1"/>
  <c r="BM121" i="1"/>
  <c r="CJ148" i="1"/>
  <c r="DI110" i="1"/>
  <c r="DI121" i="1" s="1"/>
  <c r="CJ121" i="1"/>
  <c r="CJ144" i="1" s="1"/>
  <c r="CD110" i="1"/>
  <c r="AQ146" i="1"/>
  <c r="AQ153" i="1" s="1"/>
  <c r="AQ142" i="1"/>
  <c r="CV146" i="1"/>
  <c r="CV142" i="1"/>
  <c r="CV147" i="1"/>
  <c r="DU126" i="1"/>
  <c r="DU147" i="1" s="1"/>
  <c r="CC130" i="1"/>
  <c r="DB130" i="1" s="1"/>
  <c r="ED130" i="1"/>
  <c r="BE133" i="1"/>
  <c r="BE140" i="1"/>
  <c r="R144" i="1"/>
  <c r="AS144" i="1"/>
  <c r="AN150" i="1"/>
  <c r="AF40" i="1"/>
  <c r="BK150" i="1"/>
  <c r="BS80" i="1"/>
  <c r="DG150" i="1"/>
  <c r="DP150" i="1"/>
  <c r="DX150" i="1"/>
  <c r="DX80" i="1"/>
  <c r="BC150" i="1"/>
  <c r="BC80" i="1"/>
  <c r="BM43" i="1"/>
  <c r="BE43" i="1" s="1"/>
  <c r="AF43" i="1"/>
  <c r="DC44" i="1"/>
  <c r="DV51" i="1"/>
  <c r="G51" i="1"/>
  <c r="Q150" i="1"/>
  <c r="Q80" i="1"/>
  <c r="Q144" i="1" s="1"/>
  <c r="Q154" i="1" s="1"/>
  <c r="G63" i="1"/>
  <c r="EB63" i="1" s="1"/>
  <c r="DM63" i="1"/>
  <c r="DM80" i="1" s="1"/>
  <c r="ED68" i="1"/>
  <c r="EC70" i="1"/>
  <c r="BQ75" i="1"/>
  <c r="G75" i="1"/>
  <c r="CB77" i="1"/>
  <c r="AN80" i="1"/>
  <c r="AH152" i="1"/>
  <c r="AF81" i="1"/>
  <c r="BG81" i="1"/>
  <c r="DK152" i="1"/>
  <c r="DK104" i="1"/>
  <c r="CD82" i="1"/>
  <c r="DE82" i="1"/>
  <c r="DC82" i="1" s="1"/>
  <c r="BE84" i="1"/>
  <c r="I152" i="1"/>
  <c r="G90" i="1"/>
  <c r="EB90" i="1" s="1"/>
  <c r="I104" i="1"/>
  <c r="EC91" i="1"/>
  <c r="AE91" i="1"/>
  <c r="BD91" i="1" s="1"/>
  <c r="X152" i="1"/>
  <c r="BV92" i="1"/>
  <c r="BE92" i="1" s="1"/>
  <c r="DT92" i="1"/>
  <c r="BE95" i="1"/>
  <c r="EC95" i="1" s="1"/>
  <c r="BV101" i="1"/>
  <c r="G101" i="1"/>
  <c r="DT101" i="1"/>
  <c r="DC101" i="1" s="1"/>
  <c r="ED101" i="1" s="1"/>
  <c r="DH148" i="1"/>
  <c r="DH121" i="1"/>
  <c r="DP148" i="1"/>
  <c r="DP121" i="1"/>
  <c r="CF148" i="1"/>
  <c r="CD109" i="1"/>
  <c r="DE109" i="1"/>
  <c r="DE148" i="1" s="1"/>
  <c r="CF121" i="1"/>
  <c r="CC119" i="1"/>
  <c r="DB119" i="1" s="1"/>
  <c r="DL142" i="1"/>
  <c r="DT142" i="1"/>
  <c r="DA142" i="1"/>
  <c r="DA146" i="1"/>
  <c r="BW133" i="1"/>
  <c r="BW151" i="1" s="1"/>
  <c r="AF133" i="1"/>
  <c r="U153" i="1"/>
  <c r="Y151" i="1"/>
  <c r="AD147" i="1"/>
  <c r="AD153" i="1" s="1"/>
  <c r="CB35" i="1"/>
  <c r="BJ150" i="1"/>
  <c r="BR150" i="1"/>
  <c r="BZ150" i="1"/>
  <c r="DE150" i="1"/>
  <c r="DU150" i="1"/>
  <c r="AT150" i="1"/>
  <c r="CB46" i="1"/>
  <c r="CB50" i="1"/>
  <c r="DK55" i="1"/>
  <c r="DC55" i="1" s="1"/>
  <c r="ED55" i="1" s="1"/>
  <c r="BM56" i="1"/>
  <c r="BE56" i="1" s="1"/>
  <c r="ED58" i="1"/>
  <c r="R150" i="1"/>
  <c r="BN66" i="1"/>
  <c r="BN80" i="1" s="1"/>
  <c r="DK72" i="1"/>
  <c r="DS72" i="1"/>
  <c r="DS80" i="1" s="1"/>
  <c r="AT80" i="1"/>
  <c r="CO80" i="1"/>
  <c r="CO144" i="1" s="1"/>
  <c r="AE86" i="1"/>
  <c r="BD86" i="1" s="1"/>
  <c r="CC91" i="1"/>
  <c r="DB91" i="1" s="1"/>
  <c r="DE92" i="1"/>
  <c r="G92" i="1"/>
  <c r="EB92" i="1" s="1"/>
  <c r="CD95" i="1"/>
  <c r="AZ121" i="1"/>
  <c r="AZ144" i="1" s="1"/>
  <c r="BL148" i="1"/>
  <c r="BL121" i="1"/>
  <c r="BT148" i="1"/>
  <c r="BT121" i="1"/>
  <c r="Z148" i="1"/>
  <c r="Z153" i="1" s="1"/>
  <c r="BX109" i="1"/>
  <c r="BX148" i="1" s="1"/>
  <c r="EB112" i="1"/>
  <c r="AE112" i="1"/>
  <c r="BD112" i="1" s="1"/>
  <c r="EB114" i="1"/>
  <c r="CC114" i="1"/>
  <c r="DB114" i="1" s="1"/>
  <c r="DC119" i="1"/>
  <c r="ED119" i="1" s="1"/>
  <c r="BF120" i="1"/>
  <c r="BE120" i="1" s="1"/>
  <c r="AF120" i="1"/>
  <c r="EC122" i="1"/>
  <c r="Q146" i="1"/>
  <c r="Q153" i="1" s="1"/>
  <c r="Q142" i="1"/>
  <c r="BO123" i="1"/>
  <c r="BO146" i="1" s="1"/>
  <c r="AU142" i="1"/>
  <c r="AU144" i="1" s="1"/>
  <c r="AU146" i="1"/>
  <c r="AU153" i="1" s="1"/>
  <c r="DJ146" i="1"/>
  <c r="EC130" i="1"/>
  <c r="AF135" i="1"/>
  <c r="BW135" i="1"/>
  <c r="BE135" i="1" s="1"/>
  <c r="DE135" i="1"/>
  <c r="DC135" i="1" s="1"/>
  <c r="CD135" i="1"/>
  <c r="EB136" i="1"/>
  <c r="DC138" i="1"/>
  <c r="ED138" i="1" s="1"/>
  <c r="BF150" i="1"/>
  <c r="BV150" i="1"/>
  <c r="CL80" i="1"/>
  <c r="DI150" i="1"/>
  <c r="G60" i="1"/>
  <c r="EB60" i="1" s="1"/>
  <c r="BS60" i="1"/>
  <c r="BS150" i="1" s="1"/>
  <c r="G66" i="1"/>
  <c r="EB66" i="1" s="1"/>
  <c r="G72" i="1"/>
  <c r="W80" i="1"/>
  <c r="W144" i="1" s="1"/>
  <c r="W154" i="1" s="1"/>
  <c r="AP80" i="1"/>
  <c r="BZ80" i="1"/>
  <c r="BZ144" i="1" s="1"/>
  <c r="CS80" i="1"/>
  <c r="AD152" i="1"/>
  <c r="AD104" i="1"/>
  <c r="CB81" i="1"/>
  <c r="DD152" i="1"/>
  <c r="CB83" i="1"/>
  <c r="BE83" i="1" s="1"/>
  <c r="EC83" i="1" s="1"/>
  <c r="DZ83" i="1"/>
  <c r="DC83" i="1" s="1"/>
  <c r="G83" i="1"/>
  <c r="G152" i="1" s="1"/>
  <c r="EB152" i="1" s="1"/>
  <c r="CD89" i="1"/>
  <c r="AF92" i="1"/>
  <c r="AF94" i="1"/>
  <c r="CD98" i="1"/>
  <c r="BH148" i="1"/>
  <c r="BH121" i="1"/>
  <c r="BP148" i="1"/>
  <c r="AF106" i="1"/>
  <c r="BY106" i="1"/>
  <c r="BE106" i="1" s="1"/>
  <c r="AE108" i="1"/>
  <c r="BD108" i="1" s="1"/>
  <c r="EC108" i="1"/>
  <c r="CD115" i="1"/>
  <c r="DW115" i="1"/>
  <c r="BF116" i="1"/>
  <c r="BE116" i="1" s="1"/>
  <c r="AF116" i="1"/>
  <c r="DC120" i="1"/>
  <c r="ED120" i="1" s="1"/>
  <c r="BR142" i="1"/>
  <c r="BZ142" i="1"/>
  <c r="AN142" i="1"/>
  <c r="AF123" i="1"/>
  <c r="AN146" i="1"/>
  <c r="BM123" i="1"/>
  <c r="CL146" i="1"/>
  <c r="CA147" i="1"/>
  <c r="DF142" i="1"/>
  <c r="CD127" i="1"/>
  <c r="CU142" i="1"/>
  <c r="DT127" i="1"/>
  <c r="DC127" i="1" s="1"/>
  <c r="CU147" i="1"/>
  <c r="CU153" i="1" s="1"/>
  <c r="BE136" i="1"/>
  <c r="EC136" i="1" s="1"/>
  <c r="CZ142" i="1"/>
  <c r="V146" i="1"/>
  <c r="V153" i="1" s="1"/>
  <c r="CT150" i="1"/>
  <c r="CT80" i="1"/>
  <c r="BR80" i="1"/>
  <c r="CU80" i="1"/>
  <c r="BH152" i="1"/>
  <c r="BP152" i="1"/>
  <c r="BX152" i="1"/>
  <c r="DG152" i="1"/>
  <c r="DG104" i="1"/>
  <c r="DO152" i="1"/>
  <c r="DO104" i="1"/>
  <c r="DW152" i="1"/>
  <c r="DW104" i="1"/>
  <c r="BE82" i="1"/>
  <c r="AW152" i="1"/>
  <c r="BE85" i="1"/>
  <c r="AF109" i="1"/>
  <c r="DF148" i="1"/>
  <c r="CB111" i="1"/>
  <c r="CB148" i="1" s="1"/>
  <c r="DZ111" i="1"/>
  <c r="DZ148" i="1" s="1"/>
  <c r="BE112" i="1"/>
  <c r="EC112" i="1" s="1"/>
  <c r="EB122" i="1"/>
  <c r="CC122" i="1"/>
  <c r="DB122" i="1" s="1"/>
  <c r="BK142" i="1"/>
  <c r="AT146" i="1"/>
  <c r="AT153" i="1" s="1"/>
  <c r="BS124" i="1"/>
  <c r="AT142" i="1"/>
  <c r="BH142" i="1"/>
  <c r="CD125" i="1"/>
  <c r="DK125" i="1"/>
  <c r="DC125" i="1" s="1"/>
  <c r="CS147" i="1"/>
  <c r="CS153" i="1" s="1"/>
  <c r="CD126" i="1"/>
  <c r="CD132" i="1"/>
  <c r="DG132" i="1"/>
  <c r="DC132" i="1" s="1"/>
  <c r="BG134" i="1"/>
  <c r="BE134" i="1" s="1"/>
  <c r="AF134" i="1"/>
  <c r="CD134" i="1"/>
  <c r="DU134" i="1"/>
  <c r="DU151" i="1" s="1"/>
  <c r="CD140" i="1"/>
  <c r="DZ140" i="1"/>
  <c r="DZ149" i="1" s="1"/>
  <c r="AY148" i="1"/>
  <c r="O150" i="1"/>
  <c r="BH150" i="1"/>
  <c r="BP150" i="1"/>
  <c r="DK40" i="1"/>
  <c r="AR150" i="1"/>
  <c r="AR153" i="1" s="1"/>
  <c r="AW150" i="1"/>
  <c r="AW80" i="1"/>
  <c r="P150" i="1"/>
  <c r="P80" i="1"/>
  <c r="AR80" i="1"/>
  <c r="BA80" i="1"/>
  <c r="BJ80" i="1"/>
  <c r="DE80" i="1"/>
  <c r="DH152" i="1"/>
  <c r="DH104" i="1"/>
  <c r="DP152" i="1"/>
  <c r="DP104" i="1"/>
  <c r="DX152" i="1"/>
  <c r="DX104" i="1"/>
  <c r="CU152" i="1"/>
  <c r="CU104" i="1"/>
  <c r="CD84" i="1"/>
  <c r="DT85" i="1"/>
  <c r="DC86" i="1"/>
  <c r="ED86" i="1" s="1"/>
  <c r="CC90" i="1"/>
  <c r="DB90" i="1" s="1"/>
  <c r="AX152" i="1"/>
  <c r="AX104" i="1"/>
  <c r="CD92" i="1"/>
  <c r="DC94" i="1"/>
  <c r="ED94" i="1" s="1"/>
  <c r="DC96" i="1"/>
  <c r="ED96" i="1" s="1"/>
  <c r="BV98" i="1"/>
  <c r="AE99" i="1"/>
  <c r="BD99" i="1" s="1"/>
  <c r="CD102" i="1"/>
  <c r="DU102" i="1"/>
  <c r="DU152" i="1" s="1"/>
  <c r="BH104" i="1"/>
  <c r="DX148" i="1"/>
  <c r="DX153" i="1" s="1"/>
  <c r="DX121" i="1"/>
  <c r="H148" i="1"/>
  <c r="H153" i="1" s="1"/>
  <c r="G109" i="1"/>
  <c r="EB109" i="1" s="1"/>
  <c r="DD109" i="1"/>
  <c r="DD121" i="1" s="1"/>
  <c r="EB113" i="1"/>
  <c r="CC113" i="1"/>
  <c r="DB113" i="1" s="1"/>
  <c r="AE113" i="1"/>
  <c r="BD113" i="1" s="1"/>
  <c r="DC115" i="1"/>
  <c r="AD142" i="1"/>
  <c r="BL142" i="1"/>
  <c r="AP146" i="1"/>
  <c r="AP153" i="1" s="1"/>
  <c r="AP142" i="1"/>
  <c r="DS146" i="1"/>
  <c r="Y146" i="1"/>
  <c r="Y153" i="1" s="1"/>
  <c r="Y154" i="1" s="1"/>
  <c r="DU124" i="1"/>
  <c r="DU146" i="1" s="1"/>
  <c r="BW124" i="1"/>
  <c r="BW142" i="1" s="1"/>
  <c r="DR124" i="1"/>
  <c r="AF125" i="1"/>
  <c r="BM125" i="1"/>
  <c r="AV146" i="1"/>
  <c r="BJ146" i="1"/>
  <c r="CL150" i="1"/>
  <c r="BC152" i="1"/>
  <c r="BK152" i="1"/>
  <c r="BK153" i="1" s="1"/>
  <c r="BS152" i="1"/>
  <c r="DN152" i="1"/>
  <c r="CW152" i="1"/>
  <c r="CV152" i="1"/>
  <c r="CB103" i="1"/>
  <c r="BE103" i="1" s="1"/>
  <c r="EC103" i="1" s="1"/>
  <c r="BM148" i="1"/>
  <c r="BU148" i="1"/>
  <c r="DI148" i="1"/>
  <c r="CE148" i="1"/>
  <c r="CD106" i="1"/>
  <c r="DW108" i="1"/>
  <c r="DC108" i="1" s="1"/>
  <c r="ED108" i="1" s="1"/>
  <c r="BE113" i="1"/>
  <c r="EC113" i="1" s="1"/>
  <c r="BI117" i="1"/>
  <c r="BE117" i="1" s="1"/>
  <c r="EC117" i="1" s="1"/>
  <c r="DG117" i="1"/>
  <c r="DC117" i="1" s="1"/>
  <c r="ED117" i="1" s="1"/>
  <c r="CD118" i="1"/>
  <c r="O146" i="1"/>
  <c r="O153" i="1" s="1"/>
  <c r="G123" i="1"/>
  <c r="G142" i="1" s="1"/>
  <c r="EB142" i="1" s="1"/>
  <c r="DR123" i="1"/>
  <c r="DR146" i="1" s="1"/>
  <c r="BP124" i="1"/>
  <c r="DZ124" i="1"/>
  <c r="DZ146" i="1" s="1"/>
  <c r="DR126" i="1"/>
  <c r="DR147" i="1" s="1"/>
  <c r="DC136" i="1"/>
  <c r="ED136" i="1" s="1"/>
  <c r="I149" i="1"/>
  <c r="I153" i="1" s="1"/>
  <c r="DE140" i="1"/>
  <c r="DC140" i="1" s="1"/>
  <c r="I142" i="1"/>
  <c r="CS142" i="1"/>
  <c r="CY153" i="1"/>
  <c r="BO152" i="1"/>
  <c r="BW152" i="1"/>
  <c r="DJ152" i="1"/>
  <c r="DR152" i="1"/>
  <c r="AY152" i="1"/>
  <c r="AF88" i="1"/>
  <c r="BV93" i="1"/>
  <c r="BE93" i="1" s="1"/>
  <c r="EC93" i="1" s="1"/>
  <c r="BQ148" i="1"/>
  <c r="BQ121" i="1"/>
  <c r="DD148" i="1"/>
  <c r="DM148" i="1"/>
  <c r="DM121" i="1"/>
  <c r="DU148" i="1"/>
  <c r="DU121" i="1"/>
  <c r="CW148" i="1"/>
  <c r="CW153" i="1" s="1"/>
  <c r="CW121" i="1"/>
  <c r="BE115" i="1"/>
  <c r="EC115" i="1" s="1"/>
  <c r="DI142" i="1"/>
  <c r="T146" i="1"/>
  <c r="T153" i="1" s="1"/>
  <c r="T142" i="1"/>
  <c r="T144" i="1" s="1"/>
  <c r="T154" i="1" s="1"/>
  <c r="CL142" i="1"/>
  <c r="L146" i="1"/>
  <c r="L153" i="1" s="1"/>
  <c r="L142" i="1"/>
  <c r="L144" i="1" s="1"/>
  <c r="L154" i="1" s="1"/>
  <c r="BJ124" i="1"/>
  <c r="BN125" i="1"/>
  <c r="BE125" i="1" s="1"/>
  <c r="G125" i="1"/>
  <c r="EB125" i="1" s="1"/>
  <c r="DL125" i="1"/>
  <c r="DK126" i="1"/>
  <c r="G126" i="1"/>
  <c r="EB126" i="1" s="1"/>
  <c r="CF147" i="1"/>
  <c r="CF142" i="1"/>
  <c r="BE139" i="1"/>
  <c r="EC139" i="1" s="1"/>
  <c r="BE141" i="1"/>
  <c r="EC141" i="1" s="1"/>
  <c r="W153" i="1"/>
  <c r="BC104" i="1"/>
  <c r="BK104" i="1"/>
  <c r="BS104" i="1"/>
  <c r="BJ148" i="1"/>
  <c r="BR148" i="1"/>
  <c r="BZ148" i="1"/>
  <c r="BZ153" i="1" s="1"/>
  <c r="DN148" i="1"/>
  <c r="AA148" i="1"/>
  <c r="AA153" i="1" s="1"/>
  <c r="AA154" i="1" s="1"/>
  <c r="BY107" i="1"/>
  <c r="BE107" i="1" s="1"/>
  <c r="BY111" i="1"/>
  <c r="BY148" i="1" s="1"/>
  <c r="AF111" i="1"/>
  <c r="BJ121" i="1"/>
  <c r="BU121" i="1"/>
  <c r="DN121" i="1"/>
  <c r="DJ142" i="1"/>
  <c r="DJ144" i="1" s="1"/>
  <c r="Q147" i="1"/>
  <c r="DM125" i="1"/>
  <c r="BB147" i="1"/>
  <c r="BB153" i="1" s="1"/>
  <c r="AW142" i="1"/>
  <c r="X153" i="1"/>
  <c r="BI152" i="1"/>
  <c r="BQ152" i="1"/>
  <c r="BY152" i="1"/>
  <c r="DL152" i="1"/>
  <c r="AV104" i="1"/>
  <c r="AZ148" i="1"/>
  <c r="AZ153" i="1" s="1"/>
  <c r="BK148" i="1"/>
  <c r="BK121" i="1"/>
  <c r="BS148" i="1"/>
  <c r="BS121" i="1"/>
  <c r="DO148" i="1"/>
  <c r="DO121" i="1"/>
  <c r="AG148" i="1"/>
  <c r="AG153" i="1" s="1"/>
  <c r="AG154" i="1" s="1"/>
  <c r="DA148" i="1"/>
  <c r="BE114" i="1"/>
  <c r="EC114" i="1" s="1"/>
  <c r="AL121" i="1"/>
  <c r="AL144" i="1" s="1"/>
  <c r="AL154" i="1" s="1"/>
  <c r="CE121" i="1"/>
  <c r="CE144" i="1" s="1"/>
  <c r="CU121" i="1"/>
  <c r="BV142" i="1"/>
  <c r="DS142" i="1"/>
  <c r="CN146" i="1"/>
  <c r="CN142" i="1"/>
  <c r="DH146" i="1"/>
  <c r="DP123" i="1"/>
  <c r="AF124" i="1"/>
  <c r="BN124" i="1"/>
  <c r="R147" i="1"/>
  <c r="DN125" i="1"/>
  <c r="BO125" i="1"/>
  <c r="BO147" i="1" s="1"/>
  <c r="BM126" i="1"/>
  <c r="BE126" i="1" s="1"/>
  <c r="EC126" i="1" s="1"/>
  <c r="DM126" i="1"/>
  <c r="DC126" i="1" s="1"/>
  <c r="DZ128" i="1"/>
  <c r="DC128" i="1" s="1"/>
  <c r="ED128" i="1" s="1"/>
  <c r="AY142" i="1"/>
  <c r="AD148" i="1"/>
  <c r="BF146" i="1"/>
  <c r="CM146" i="1"/>
  <c r="DG146" i="1"/>
  <c r="DO146" i="1"/>
  <c r="DW146" i="1"/>
  <c r="AX146" i="1"/>
  <c r="AX142" i="1"/>
  <c r="AF127" i="1"/>
  <c r="BS128" i="1"/>
  <c r="N153" i="1"/>
  <c r="N154" i="1" s="1"/>
  <c r="BA153" i="1"/>
  <c r="AW147" i="1"/>
  <c r="AW153" i="1" s="1"/>
  <c r="Z142" i="1"/>
  <c r="Z144" i="1" s="1"/>
  <c r="Z154" i="1" s="1"/>
  <c r="Z147" i="1"/>
  <c r="BX129" i="1"/>
  <c r="CW142" i="1"/>
  <c r="CJ153" i="1"/>
  <c r="DW142" i="1"/>
  <c r="P146" i="1"/>
  <c r="AO146" i="1"/>
  <c r="BQ146" i="1"/>
  <c r="CO153" i="1"/>
  <c r="DI146" i="1"/>
  <c r="CT142" i="1"/>
  <c r="AX147" i="1"/>
  <c r="AF140" i="1"/>
  <c r="CM142" i="1"/>
  <c r="AJ142" i="1"/>
  <c r="AJ144" i="1" s="1"/>
  <c r="J153" i="1"/>
  <c r="J154" i="1" s="1"/>
  <c r="S153" i="1"/>
  <c r="CZ153" i="1"/>
  <c r="CX153" i="1"/>
  <c r="AB153" i="1"/>
  <c r="BE127" i="2" l="1"/>
  <c r="CC67" i="2"/>
  <c r="DB67" i="2" s="1"/>
  <c r="BE47" i="2"/>
  <c r="BS143" i="2"/>
  <c r="BS145" i="2" s="1"/>
  <c r="CC78" i="2"/>
  <c r="DB78" i="2" s="1"/>
  <c r="EJ78" i="2"/>
  <c r="EB93" i="2"/>
  <c r="EI93" i="2"/>
  <c r="CC49" i="2"/>
  <c r="DB49" i="2" s="1"/>
  <c r="BT148" i="2"/>
  <c r="CC129" i="2"/>
  <c r="DB129" i="2" s="1"/>
  <c r="EJ129" i="2"/>
  <c r="CC107" i="2"/>
  <c r="DB107" i="2" s="1"/>
  <c r="EJ107" i="2"/>
  <c r="ED99" i="2"/>
  <c r="ED86" i="2"/>
  <c r="DE149" i="2"/>
  <c r="DN81" i="2"/>
  <c r="CC29" i="2"/>
  <c r="DB29" i="2" s="1"/>
  <c r="ED42" i="2"/>
  <c r="EC6" i="2"/>
  <c r="EB89" i="2"/>
  <c r="EI89" i="2"/>
  <c r="BM40" i="2"/>
  <c r="BW143" i="2"/>
  <c r="DC44" i="2"/>
  <c r="ED44" i="2" s="1"/>
  <c r="ED113" i="2"/>
  <c r="EB102" i="2"/>
  <c r="EI102" i="2"/>
  <c r="EB126" i="2"/>
  <c r="EI126" i="2"/>
  <c r="BE76" i="2"/>
  <c r="BE89" i="2"/>
  <c r="CC56" i="2"/>
  <c r="DB56" i="2" s="1"/>
  <c r="EJ56" i="2"/>
  <c r="EB112" i="2"/>
  <c r="EI112" i="2"/>
  <c r="EC80" i="2"/>
  <c r="CC91" i="2"/>
  <c r="DB91" i="2" s="1"/>
  <c r="BW151" i="2"/>
  <c r="EC57" i="2"/>
  <c r="BN151" i="2"/>
  <c r="EB97" i="2"/>
  <c r="EI97" i="2"/>
  <c r="CC102" i="2"/>
  <c r="DB102" i="2" s="1"/>
  <c r="DI149" i="2"/>
  <c r="DI154" i="2" s="1"/>
  <c r="DU143" i="2"/>
  <c r="EB130" i="2"/>
  <c r="EI130" i="2"/>
  <c r="Q145" i="2"/>
  <c r="CC99" i="2"/>
  <c r="DB99" i="2" s="1"/>
  <c r="EJ99" i="2"/>
  <c r="ED96" i="2"/>
  <c r="EB110" i="2"/>
  <c r="EI110" i="2"/>
  <c r="ED140" i="2"/>
  <c r="DL147" i="2"/>
  <c r="DC43" i="2"/>
  <c r="ED43" i="2" s="1"/>
  <c r="DC46" i="2"/>
  <c r="CF40" i="2"/>
  <c r="BS147" i="2"/>
  <c r="BS154" i="2" s="1"/>
  <c r="DU152" i="2"/>
  <c r="DC76" i="2"/>
  <c r="BV150" i="2"/>
  <c r="DC61" i="2"/>
  <c r="EB125" i="2"/>
  <c r="EI125" i="2"/>
  <c r="U145" i="2"/>
  <c r="CC89" i="2"/>
  <c r="DB89" i="2" s="1"/>
  <c r="CC113" i="2"/>
  <c r="DB113" i="2" s="1"/>
  <c r="BE79" i="2"/>
  <c r="EC79" i="2" s="1"/>
  <c r="BU105" i="2"/>
  <c r="AE102" i="2"/>
  <c r="BD102" i="2" s="1"/>
  <c r="DC80" i="2"/>
  <c r="AE104" i="2"/>
  <c r="BD104" i="2" s="1"/>
  <c r="CC57" i="2"/>
  <c r="DB57" i="2" s="1"/>
  <c r="EJ57" i="2"/>
  <c r="ED67" i="2"/>
  <c r="ED84" i="2"/>
  <c r="EJ84" i="2"/>
  <c r="CC121" i="2"/>
  <c r="DB121" i="2" s="1"/>
  <c r="EJ121" i="2"/>
  <c r="Y154" i="2"/>
  <c r="DL143" i="2"/>
  <c r="I145" i="2"/>
  <c r="DK148" i="2"/>
  <c r="DC129" i="2"/>
  <c r="ED129" i="2" s="1"/>
  <c r="BE140" i="2"/>
  <c r="EC140" i="2" s="1"/>
  <c r="Z145" i="2"/>
  <c r="DY148" i="2"/>
  <c r="DL148" i="2"/>
  <c r="DM143" i="2"/>
  <c r="BR143" i="2"/>
  <c r="AE130" i="2"/>
  <c r="BD130" i="2" s="1"/>
  <c r="BE110" i="2"/>
  <c r="BV149" i="2"/>
  <c r="EC86" i="2"/>
  <c r="AE84" i="2"/>
  <c r="BD84" i="2" s="1"/>
  <c r="EC94" i="2"/>
  <c r="EC84" i="2"/>
  <c r="BU153" i="2"/>
  <c r="BU154" i="2" s="1"/>
  <c r="EC56" i="2"/>
  <c r="DX145" i="2"/>
  <c r="ED78" i="2"/>
  <c r="BU81" i="2"/>
  <c r="DZ81" i="2"/>
  <c r="EC66" i="2"/>
  <c r="BE67" i="2"/>
  <c r="EC67" i="2" s="1"/>
  <c r="EC63" i="2"/>
  <c r="AU154" i="2"/>
  <c r="X154" i="2"/>
  <c r="AO145" i="2"/>
  <c r="BE49" i="2"/>
  <c r="EC49" i="2" s="1"/>
  <c r="P145" i="2"/>
  <c r="EC46" i="2"/>
  <c r="I154" i="2"/>
  <c r="V145" i="2"/>
  <c r="CO154" i="2"/>
  <c r="AP145" i="2"/>
  <c r="P154" i="2"/>
  <c r="AC154" i="2"/>
  <c r="AV145" i="2"/>
  <c r="AQ145" i="2"/>
  <c r="DE40" i="2"/>
  <c r="AQ154" i="2"/>
  <c r="BE12" i="2"/>
  <c r="EC12" i="2" s="1"/>
  <c r="CC33" i="2"/>
  <c r="DB33" i="2" s="1"/>
  <c r="CA40" i="2"/>
  <c r="ED24" i="2"/>
  <c r="AT154" i="2"/>
  <c r="CD150" i="2"/>
  <c r="EJ151" i="2" s="1"/>
  <c r="CN154" i="2"/>
  <c r="DE152" i="2"/>
  <c r="ED13" i="2"/>
  <c r="DD122" i="2"/>
  <c r="DD145" i="2" s="1"/>
  <c r="AF150" i="2"/>
  <c r="DC11" i="2"/>
  <c r="ED11" i="2" s="1"/>
  <c r="DP151" i="2"/>
  <c r="DP154" i="2" s="1"/>
  <c r="DA152" i="2"/>
  <c r="CD152" i="2" s="1"/>
  <c r="EJ153" i="2" s="1"/>
  <c r="CB122" i="2"/>
  <c r="BE73" i="2"/>
  <c r="EC73" i="2" s="1"/>
  <c r="CR145" i="2"/>
  <c r="DT143" i="2"/>
  <c r="DV122" i="2"/>
  <c r="BV153" i="2"/>
  <c r="BK122" i="2"/>
  <c r="BK145" i="2" s="1"/>
  <c r="CZ154" i="2"/>
  <c r="AY145" i="2"/>
  <c r="BZ151" i="2"/>
  <c r="BZ154" i="2" s="1"/>
  <c r="CB150" i="2"/>
  <c r="ED57" i="2"/>
  <c r="AW154" i="2"/>
  <c r="CB81" i="2"/>
  <c r="DU40" i="2"/>
  <c r="BN81" i="2"/>
  <c r="DM148" i="2"/>
  <c r="EC47" i="2"/>
  <c r="DT151" i="2"/>
  <c r="BE64" i="2"/>
  <c r="EC64" i="2" s="1"/>
  <c r="DU148" i="2"/>
  <c r="DC35" i="2"/>
  <c r="ED35" i="2" s="1"/>
  <c r="DC16" i="2"/>
  <c r="ED16" i="2" s="1"/>
  <c r="DG149" i="2"/>
  <c r="DC29" i="2"/>
  <c r="ED29" i="2" s="1"/>
  <c r="BG143" i="2"/>
  <c r="BX105" i="2"/>
  <c r="BE102" i="2"/>
  <c r="EC102" i="2" s="1"/>
  <c r="BG150" i="2"/>
  <c r="CB148" i="2"/>
  <c r="EC24" i="2"/>
  <c r="ED8" i="2"/>
  <c r="BN143" i="2"/>
  <c r="DC93" i="2"/>
  <c r="ED93" i="2" s="1"/>
  <c r="BW149" i="2"/>
  <c r="DZ149" i="2"/>
  <c r="CD122" i="2"/>
  <c r="EJ122" i="2" s="1"/>
  <c r="AX154" i="2"/>
  <c r="DV143" i="2"/>
  <c r="EC33" i="2"/>
  <c r="DC89" i="2"/>
  <c r="ED89" i="2" s="1"/>
  <c r="DA40" i="2"/>
  <c r="DM152" i="2"/>
  <c r="BX150" i="1"/>
  <c r="AH154" i="2"/>
  <c r="AG159" i="2" s="1"/>
  <c r="DL154" i="2"/>
  <c r="CV145" i="2"/>
  <c r="BE45" i="2"/>
  <c r="EC45" i="2" s="1"/>
  <c r="CD150" i="1"/>
  <c r="DC134" i="1"/>
  <c r="EC89" i="1"/>
  <c r="BG39" i="1"/>
  <c r="DO80" i="1"/>
  <c r="BE10" i="1"/>
  <c r="EC10" i="1" s="1"/>
  <c r="CA143" i="2"/>
  <c r="CF154" i="2"/>
  <c r="DV149" i="2"/>
  <c r="AX145" i="2"/>
  <c r="BX81" i="2"/>
  <c r="BX145" i="2" s="1"/>
  <c r="DS40" i="2"/>
  <c r="AH145" i="2"/>
  <c r="BE38" i="1"/>
  <c r="EC38" i="1" s="1"/>
  <c r="AU154" i="1"/>
  <c r="BY122" i="2"/>
  <c r="BY145" i="2" s="1"/>
  <c r="BI143" i="2"/>
  <c r="BO40" i="2"/>
  <c r="BI121" i="1"/>
  <c r="AJ154" i="2"/>
  <c r="DT148" i="2"/>
  <c r="BO143" i="2"/>
  <c r="BE35" i="2"/>
  <c r="EC35" i="2" s="1"/>
  <c r="DC93" i="1"/>
  <c r="ED93" i="1" s="1"/>
  <c r="CJ154" i="1"/>
  <c r="EC97" i="2"/>
  <c r="CB151" i="2"/>
  <c r="BU40" i="2"/>
  <c r="EC51" i="2"/>
  <c r="BV105" i="2"/>
  <c r="CN153" i="1"/>
  <c r="CD147" i="1"/>
  <c r="CM144" i="1"/>
  <c r="ED33" i="1"/>
  <c r="DC111" i="2"/>
  <c r="ED111" i="2" s="1"/>
  <c r="BE19" i="2"/>
  <c r="EC19" i="2" s="1"/>
  <c r="BO152" i="2"/>
  <c r="EC107" i="1"/>
  <c r="BN142" i="1"/>
  <c r="CG154" i="1"/>
  <c r="BV39" i="1"/>
  <c r="DC10" i="1"/>
  <c r="ED10" i="1" s="1"/>
  <c r="DC124" i="2"/>
  <c r="ED124" i="2" s="1"/>
  <c r="EC121" i="2"/>
  <c r="AU145" i="2"/>
  <c r="DV151" i="2"/>
  <c r="DC49" i="2"/>
  <c r="ED49" i="2" s="1"/>
  <c r="EC119" i="2"/>
  <c r="BV152" i="1"/>
  <c r="DY143" i="2"/>
  <c r="DY145" i="2" s="1"/>
  <c r="BV104" i="1"/>
  <c r="DT104" i="1"/>
  <c r="BE129" i="1"/>
  <c r="AY144" i="1"/>
  <c r="ED69" i="1"/>
  <c r="DY151" i="1"/>
  <c r="BC154" i="2"/>
  <c r="AV154" i="2"/>
  <c r="AY154" i="2"/>
  <c r="BG152" i="2"/>
  <c r="DC55" i="2"/>
  <c r="ED55" i="2" s="1"/>
  <c r="BG40" i="2"/>
  <c r="DZ151" i="2"/>
  <c r="DZ40" i="2"/>
  <c r="ED38" i="1"/>
  <c r="ED123" i="2"/>
  <c r="EC123" i="2"/>
  <c r="EB101" i="2"/>
  <c r="AE101" i="2"/>
  <c r="BD101" i="2" s="1"/>
  <c r="BX151" i="2"/>
  <c r="CC130" i="2"/>
  <c r="DB130" i="2" s="1"/>
  <c r="DT153" i="2"/>
  <c r="ED106" i="2"/>
  <c r="DE105" i="2"/>
  <c r="BE118" i="2"/>
  <c r="EC118" i="2" s="1"/>
  <c r="BI122" i="2"/>
  <c r="BI149" i="2"/>
  <c r="BE130" i="2"/>
  <c r="EC130" i="2" s="1"/>
  <c r="G105" i="2"/>
  <c r="Q154" i="2"/>
  <c r="BE108" i="2"/>
  <c r="EC108" i="2" s="1"/>
  <c r="BY149" i="2"/>
  <c r="BY154" i="2" s="1"/>
  <c r="DT105" i="2"/>
  <c r="DC85" i="2"/>
  <c r="ED85" i="2" s="1"/>
  <c r="Z154" i="2"/>
  <c r="BE111" i="2"/>
  <c r="EC111" i="2" s="1"/>
  <c r="EB95" i="2"/>
  <c r="AE95" i="2"/>
  <c r="BD95" i="2" s="1"/>
  <c r="CC95" i="2"/>
  <c r="DB95" i="2" s="1"/>
  <c r="EC13" i="2"/>
  <c r="AE13" i="2"/>
  <c r="BD13" i="2" s="1"/>
  <c r="CC25" i="2"/>
  <c r="DB25" i="2" s="1"/>
  <c r="ED25" i="2"/>
  <c r="AW145" i="2"/>
  <c r="DK151" i="2"/>
  <c r="EC128" i="2"/>
  <c r="AE128" i="2"/>
  <c r="BD128" i="2" s="1"/>
  <c r="EC62" i="2"/>
  <c r="AE62" i="2"/>
  <c r="BD62" i="2" s="1"/>
  <c r="AE42" i="2"/>
  <c r="BD42" i="2" s="1"/>
  <c r="EC42" i="2"/>
  <c r="BW152" i="2"/>
  <c r="BE34" i="2"/>
  <c r="EC34" i="2" s="1"/>
  <c r="CB153" i="2"/>
  <c r="CB105" i="2"/>
  <c r="BE125" i="2"/>
  <c r="EC125" i="2" s="1"/>
  <c r="BJ147" i="2"/>
  <c r="BJ154" i="2" s="1"/>
  <c r="BJ143" i="2"/>
  <c r="BJ145" i="2" s="1"/>
  <c r="EB79" i="2"/>
  <c r="AE79" i="2"/>
  <c r="BD79" i="2" s="1"/>
  <c r="BE126" i="2"/>
  <c r="EC126" i="2" s="1"/>
  <c r="BN148" i="2"/>
  <c r="CT151" i="2"/>
  <c r="CT154" i="2" s="1"/>
  <c r="CT81" i="2"/>
  <c r="CT145" i="2" s="1"/>
  <c r="CD73" i="2"/>
  <c r="EJ73" i="2" s="1"/>
  <c r="DS73" i="2"/>
  <c r="BL145" i="2"/>
  <c r="EC78" i="2"/>
  <c r="AE78" i="2"/>
  <c r="BD78" i="2" s="1"/>
  <c r="DX154" i="2"/>
  <c r="CC18" i="2"/>
  <c r="DB18" i="2" s="1"/>
  <c r="EC112" i="2"/>
  <c r="AE112" i="2"/>
  <c r="BD112" i="2" s="1"/>
  <c r="AF152" i="2"/>
  <c r="AF40" i="2"/>
  <c r="EC5" i="2"/>
  <c r="AE5" i="2"/>
  <c r="BD5" i="2" s="1"/>
  <c r="DC126" i="2"/>
  <c r="ED126" i="2" s="1"/>
  <c r="DR147" i="2"/>
  <c r="DR154" i="2" s="1"/>
  <c r="DR143" i="2"/>
  <c r="EC107" i="2"/>
  <c r="AE107" i="2"/>
  <c r="BD107" i="2" s="1"/>
  <c r="AF149" i="2"/>
  <c r="AF122" i="2"/>
  <c r="AD154" i="2"/>
  <c r="EB34" i="2"/>
  <c r="CC34" i="2"/>
  <c r="DB34" i="2" s="1"/>
  <c r="G151" i="2"/>
  <c r="G81" i="2"/>
  <c r="EB41" i="2"/>
  <c r="BC145" i="2"/>
  <c r="CC101" i="2"/>
  <c r="DB101" i="2" s="1"/>
  <c r="EB84" i="2"/>
  <c r="CC84" i="2"/>
  <c r="DB84" i="2" s="1"/>
  <c r="G153" i="2"/>
  <c r="DL40" i="2"/>
  <c r="BZ145" i="2"/>
  <c r="CC93" i="2"/>
  <c r="DB93" i="2" s="1"/>
  <c r="BQ145" i="2"/>
  <c r="DA153" i="2"/>
  <c r="DA105" i="2"/>
  <c r="CD82" i="2"/>
  <c r="EJ82" i="2" s="1"/>
  <c r="EB111" i="2"/>
  <c r="G149" i="2"/>
  <c r="G122" i="2"/>
  <c r="CD148" i="2"/>
  <c r="EJ149" i="2" s="1"/>
  <c r="CH154" i="2"/>
  <c r="O154" i="2"/>
  <c r="DN143" i="2"/>
  <c r="DN145" i="2" s="1"/>
  <c r="EC89" i="2"/>
  <c r="AE89" i="2"/>
  <c r="BD89" i="2" s="1"/>
  <c r="EB103" i="2"/>
  <c r="AE103" i="2"/>
  <c r="BD103" i="2" s="1"/>
  <c r="ED39" i="2"/>
  <c r="CC39" i="2"/>
  <c r="DB39" i="2" s="1"/>
  <c r="EB72" i="2"/>
  <c r="AE72" i="2"/>
  <c r="BD72" i="2" s="1"/>
  <c r="DZ143" i="2"/>
  <c r="CU154" i="2"/>
  <c r="BG153" i="2"/>
  <c r="BG105" i="2"/>
  <c r="BE82" i="2"/>
  <c r="BX148" i="2"/>
  <c r="DC21" i="2"/>
  <c r="ED21" i="2" s="1"/>
  <c r="DT150" i="2"/>
  <c r="DZ152" i="2"/>
  <c r="AE126" i="2"/>
  <c r="BD126" i="2" s="1"/>
  <c r="CD149" i="2"/>
  <c r="EJ150" i="2" s="1"/>
  <c r="AE111" i="2"/>
  <c r="BD111" i="2" s="1"/>
  <c r="DC127" i="2"/>
  <c r="ED127" i="2" s="1"/>
  <c r="CC126" i="2"/>
  <c r="DB126" i="2" s="1"/>
  <c r="BT154" i="2"/>
  <c r="CD143" i="2"/>
  <c r="EJ143" i="2" s="1"/>
  <c r="DC125" i="2"/>
  <c r="ED125" i="2" s="1"/>
  <c r="EC100" i="2"/>
  <c r="AE100" i="2"/>
  <c r="BD100" i="2" s="1"/>
  <c r="DK81" i="2"/>
  <c r="BP148" i="2"/>
  <c r="BP40" i="2"/>
  <c r="BT143" i="2"/>
  <c r="BT145" i="2" s="1"/>
  <c r="DV81" i="2"/>
  <c r="BE22" i="2"/>
  <c r="EC22" i="2" s="1"/>
  <c r="BH152" i="2"/>
  <c r="BH154" i="2" s="1"/>
  <c r="BH40" i="2"/>
  <c r="BH145" i="2" s="1"/>
  <c r="EB14" i="2"/>
  <c r="AE14" i="2"/>
  <c r="BD14" i="2" s="1"/>
  <c r="G40" i="2"/>
  <c r="EI40" i="2" s="1"/>
  <c r="CC14" i="2"/>
  <c r="DB14" i="2" s="1"/>
  <c r="AF151" i="2"/>
  <c r="AE41" i="2"/>
  <c r="BD41" i="2" s="1"/>
  <c r="EC41" i="2"/>
  <c r="AF81" i="2"/>
  <c r="CC58" i="2"/>
  <c r="DB58" i="2" s="1"/>
  <c r="ED58" i="2"/>
  <c r="G152" i="2"/>
  <c r="DM145" i="2"/>
  <c r="G147" i="2"/>
  <c r="EI148" i="2" s="1"/>
  <c r="EB124" i="2"/>
  <c r="G143" i="2"/>
  <c r="DZ150" i="2"/>
  <c r="DC18" i="2"/>
  <c r="ED18" i="2" s="1"/>
  <c r="DC45" i="2"/>
  <c r="ED45" i="2" s="1"/>
  <c r="DR81" i="2"/>
  <c r="BE17" i="2"/>
  <c r="EC17" i="2" s="1"/>
  <c r="BI40" i="2"/>
  <c r="BI150" i="2"/>
  <c r="DC130" i="2"/>
  <c r="ED130" i="2" s="1"/>
  <c r="DE148" i="2"/>
  <c r="DE143" i="2"/>
  <c r="CD147" i="2"/>
  <c r="EJ148" i="2" s="1"/>
  <c r="DZ82" i="2"/>
  <c r="AE93" i="2"/>
  <c r="BD93" i="2" s="1"/>
  <c r="DU149" i="2"/>
  <c r="DU122" i="2"/>
  <c r="EC11" i="2"/>
  <c r="AE11" i="2"/>
  <c r="BD11" i="2" s="1"/>
  <c r="DK147" i="2"/>
  <c r="DK143" i="2"/>
  <c r="DJ148" i="2"/>
  <c r="DJ154" i="2" s="1"/>
  <c r="DC36" i="2"/>
  <c r="ED36" i="2" s="1"/>
  <c r="DJ40" i="2"/>
  <c r="DJ145" i="2" s="1"/>
  <c r="CB143" i="2"/>
  <c r="EB127" i="2"/>
  <c r="CC127" i="2"/>
  <c r="DB127" i="2" s="1"/>
  <c r="AF147" i="2"/>
  <c r="AE124" i="2"/>
  <c r="BD124" i="2" s="1"/>
  <c r="AF143" i="2"/>
  <c r="EC76" i="2"/>
  <c r="AE76" i="2"/>
  <c r="BD76" i="2" s="1"/>
  <c r="DV98" i="2"/>
  <c r="DV153" i="2" s="1"/>
  <c r="CD98" i="2"/>
  <c r="EJ98" i="2" s="1"/>
  <c r="CW153" i="2"/>
  <c r="EB44" i="2"/>
  <c r="CC44" i="2"/>
  <c r="DB44" i="2" s="1"/>
  <c r="ED41" i="2"/>
  <c r="DC83" i="2"/>
  <c r="ED83" i="2" s="1"/>
  <c r="DE153" i="2"/>
  <c r="AN145" i="2"/>
  <c r="ED76" i="2"/>
  <c r="CC76" i="2"/>
  <c r="DB76" i="2" s="1"/>
  <c r="BE44" i="2"/>
  <c r="EC44" i="2" s="1"/>
  <c r="BW40" i="2"/>
  <c r="BW145" i="2" s="1"/>
  <c r="DK40" i="2"/>
  <c r="BO81" i="2"/>
  <c r="BO151" i="2"/>
  <c r="CU145" i="2"/>
  <c r="AE64" i="2"/>
  <c r="BD64" i="2" s="1"/>
  <c r="AE134" i="2"/>
  <c r="BD134" i="2" s="1"/>
  <c r="EC134" i="2"/>
  <c r="DD149" i="2"/>
  <c r="DD154" i="2" s="1"/>
  <c r="AN154" i="2"/>
  <c r="CC111" i="2"/>
  <c r="DB111" i="2" s="1"/>
  <c r="EB91" i="2"/>
  <c r="AE91" i="2"/>
  <c r="BD91" i="2" s="1"/>
  <c r="AF153" i="2"/>
  <c r="AF105" i="2"/>
  <c r="AE82" i="2"/>
  <c r="BD82" i="2" s="1"/>
  <c r="EC82" i="2"/>
  <c r="CC97" i="2"/>
  <c r="DB97" i="2" s="1"/>
  <c r="ED97" i="2"/>
  <c r="DQ148" i="2"/>
  <c r="DQ154" i="2" s="1"/>
  <c r="AE110" i="2"/>
  <c r="BD110" i="2" s="1"/>
  <c r="EC110" i="2"/>
  <c r="AE61" i="2"/>
  <c r="BD61" i="2" s="1"/>
  <c r="EC61" i="2"/>
  <c r="DN151" i="2"/>
  <c r="ED38" i="2"/>
  <c r="CC38" i="2"/>
  <c r="DB38" i="2" s="1"/>
  <c r="CC83" i="2"/>
  <c r="DB83" i="2" s="1"/>
  <c r="CC23" i="2"/>
  <c r="DB23" i="2" s="1"/>
  <c r="ED23" i="2"/>
  <c r="CC125" i="2"/>
  <c r="DB125" i="2" s="1"/>
  <c r="DC54" i="2"/>
  <c r="ED54" i="2" s="1"/>
  <c r="CC35" i="2"/>
  <c r="DB35" i="2" s="1"/>
  <c r="DH147" i="2"/>
  <c r="DH154" i="2" s="1"/>
  <c r="CD80" i="2"/>
  <c r="EJ80" i="2" s="1"/>
  <c r="DG122" i="2"/>
  <c r="DG145" i="2" s="1"/>
  <c r="AE44" i="2"/>
  <c r="BD44" i="2" s="1"/>
  <c r="CC21" i="2"/>
  <c r="DB21" i="2" s="1"/>
  <c r="DZ148" i="2"/>
  <c r="DQ40" i="2"/>
  <c r="BE93" i="2"/>
  <c r="EC93" i="2" s="1"/>
  <c r="CC36" i="2"/>
  <c r="DB36" i="2" s="1"/>
  <c r="CB40" i="2"/>
  <c r="AE52" i="2"/>
  <c r="BD52" i="2" s="1"/>
  <c r="CB152" i="2"/>
  <c r="BR154" i="2"/>
  <c r="V154" i="2"/>
  <c r="DZ122" i="2"/>
  <c r="BB154" i="2"/>
  <c r="DY154" i="2"/>
  <c r="BF149" i="2"/>
  <c r="BX153" i="2"/>
  <c r="BF122" i="2"/>
  <c r="BF145" i="2" s="1"/>
  <c r="CW81" i="2"/>
  <c r="CW145" i="2" s="1"/>
  <c r="ED62" i="2"/>
  <c r="CC62" i="2"/>
  <c r="DB62" i="2" s="1"/>
  <c r="BB145" i="2"/>
  <c r="G148" i="2"/>
  <c r="EB36" i="2"/>
  <c r="CF145" i="2"/>
  <c r="DN147" i="2"/>
  <c r="CC124" i="2"/>
  <c r="DB124" i="2" s="1"/>
  <c r="DE150" i="2"/>
  <c r="AE142" i="2"/>
  <c r="BD142" i="2" s="1"/>
  <c r="EB142" i="2"/>
  <c r="ED120" i="2"/>
  <c r="CC120" i="2"/>
  <c r="DB120" i="2" s="1"/>
  <c r="ED61" i="2"/>
  <c r="CC61" i="2"/>
  <c r="DB61" i="2" s="1"/>
  <c r="DI145" i="2"/>
  <c r="CL145" i="2"/>
  <c r="AE33" i="2"/>
  <c r="BD33" i="2" s="1"/>
  <c r="ED7" i="2"/>
  <c r="CC7" i="2"/>
  <c r="DB7" i="2" s="1"/>
  <c r="EC7" i="2"/>
  <c r="AE7" i="2"/>
  <c r="BD7" i="2" s="1"/>
  <c r="CC54" i="2"/>
  <c r="DB54" i="2" s="1"/>
  <c r="AF148" i="2"/>
  <c r="AE36" i="2"/>
  <c r="BD36" i="2" s="1"/>
  <c r="BP147" i="2"/>
  <c r="BP143" i="2"/>
  <c r="AE43" i="2"/>
  <c r="BD43" i="2" s="1"/>
  <c r="EC43" i="2"/>
  <c r="X145" i="2"/>
  <c r="DP145" i="2"/>
  <c r="CC37" i="2"/>
  <c r="DB37" i="2" s="1"/>
  <c r="ED37" i="2"/>
  <c r="ED12" i="2"/>
  <c r="CC12" i="2"/>
  <c r="DB12" i="2" s="1"/>
  <c r="BE29" i="2"/>
  <c r="EC29" i="2" s="1"/>
  <c r="BR145" i="2"/>
  <c r="DQ143" i="2"/>
  <c r="AP154" i="2"/>
  <c r="CC103" i="2"/>
  <c r="DB103" i="2" s="1"/>
  <c r="ED103" i="2"/>
  <c r="BE124" i="2"/>
  <c r="EC124" i="2" s="1"/>
  <c r="DW149" i="2"/>
  <c r="DW154" i="2" s="1"/>
  <c r="DW122" i="2"/>
  <c r="DW145" i="2" s="1"/>
  <c r="CA148" i="2"/>
  <c r="CA154" i="2" s="1"/>
  <c r="CC108" i="2"/>
  <c r="DB108" i="2" s="1"/>
  <c r="DM147" i="2"/>
  <c r="CC116" i="2"/>
  <c r="DB116" i="2" s="1"/>
  <c r="ED116" i="2"/>
  <c r="ED135" i="2"/>
  <c r="CC135" i="2"/>
  <c r="DB135" i="2" s="1"/>
  <c r="CC110" i="2"/>
  <c r="DB110" i="2" s="1"/>
  <c r="EC87" i="2"/>
  <c r="AE87" i="2"/>
  <c r="BD87" i="2" s="1"/>
  <c r="AE67" i="2"/>
  <c r="BD67" i="2" s="1"/>
  <c r="CW151" i="2"/>
  <c r="BM143" i="2"/>
  <c r="CC42" i="2"/>
  <c r="DB42" i="2" s="1"/>
  <c r="DG150" i="2"/>
  <c r="DC15" i="2"/>
  <c r="ED15" i="2" s="1"/>
  <c r="CD46" i="2"/>
  <c r="EJ46" i="2" s="1"/>
  <c r="AO154" i="2"/>
  <c r="CL154" i="2"/>
  <c r="EC55" i="2"/>
  <c r="AE55" i="2"/>
  <c r="BD55" i="2" s="1"/>
  <c r="ED141" i="2"/>
  <c r="CC141" i="2"/>
  <c r="DB141" i="2" s="1"/>
  <c r="EC98" i="2"/>
  <c r="AE98" i="2"/>
  <c r="BD98" i="2" s="1"/>
  <c r="CC79" i="2"/>
  <c r="DB79" i="2" s="1"/>
  <c r="ED79" i="2"/>
  <c r="CZ145" i="2"/>
  <c r="BV152" i="2"/>
  <c r="BV40" i="2"/>
  <c r="BV145" i="2" s="1"/>
  <c r="CD40" i="2"/>
  <c r="EJ40" i="2" s="1"/>
  <c r="CC5" i="2"/>
  <c r="DB5" i="2" s="1"/>
  <c r="ED5" i="2"/>
  <c r="BM151" i="2"/>
  <c r="BM81" i="2"/>
  <c r="G150" i="2"/>
  <c r="AE29" i="2"/>
  <c r="BD29" i="2" s="1"/>
  <c r="DF145" i="2"/>
  <c r="DS105" i="2"/>
  <c r="CC45" i="2"/>
  <c r="DB45" i="2" s="1"/>
  <c r="CN145" i="2"/>
  <c r="ED26" i="2"/>
  <c r="CC26" i="2"/>
  <c r="DB26" i="2" s="1"/>
  <c r="EC18" i="2"/>
  <c r="AE18" i="2"/>
  <c r="BD18" i="2" s="1"/>
  <c r="CC55" i="2"/>
  <c r="DB55" i="2" s="1"/>
  <c r="EC96" i="2"/>
  <c r="AE96" i="2"/>
  <c r="BD96" i="2" s="1"/>
  <c r="AE45" i="2"/>
  <c r="BD45" i="2" s="1"/>
  <c r="EB45" i="2"/>
  <c r="BQ154" i="2"/>
  <c r="ED132" i="2"/>
  <c r="CC132" i="2"/>
  <c r="DB132" i="2" s="1"/>
  <c r="CV154" i="2"/>
  <c r="CS154" i="2"/>
  <c r="AE127" i="2"/>
  <c r="BD127" i="2" s="1"/>
  <c r="EC127" i="2"/>
  <c r="BK154" i="2"/>
  <c r="DC110" i="2"/>
  <c r="DC108" i="2"/>
  <c r="ED108" i="2" s="1"/>
  <c r="EB104" i="2"/>
  <c r="CC104" i="2"/>
  <c r="DB104" i="2" s="1"/>
  <c r="AD145" i="2"/>
  <c r="BN147" i="2"/>
  <c r="BI148" i="2"/>
  <c r="DF154" i="2"/>
  <c r="EC99" i="2"/>
  <c r="AE99" i="2"/>
  <c r="BD99" i="2" s="1"/>
  <c r="AE12" i="2"/>
  <c r="BD12" i="2" s="1"/>
  <c r="ED60" i="2"/>
  <c r="CC60" i="2"/>
  <c r="DB60" i="2" s="1"/>
  <c r="CC43" i="2"/>
  <c r="DB43" i="2" s="1"/>
  <c r="AE141" i="2"/>
  <c r="BD141" i="2" s="1"/>
  <c r="EC141" i="2"/>
  <c r="R154" i="2"/>
  <c r="BL148" i="2"/>
  <c r="BL154" i="2" s="1"/>
  <c r="BE36" i="2"/>
  <c r="EC36" i="2" s="1"/>
  <c r="AE125" i="2"/>
  <c r="BD125" i="2" s="1"/>
  <c r="DH145" i="2"/>
  <c r="AE19" i="2"/>
  <c r="BD19" i="2" s="1"/>
  <c r="AE49" i="2"/>
  <c r="BD49" i="2" s="1"/>
  <c r="DT152" i="2"/>
  <c r="DT40" i="2"/>
  <c r="CC27" i="2"/>
  <c r="DB27" i="2" s="1"/>
  <c r="CD64" i="2"/>
  <c r="EJ64" i="2" s="1"/>
  <c r="DO64" i="2"/>
  <c r="DC64" i="2" s="1"/>
  <c r="CC52" i="2"/>
  <c r="DB52" i="2" s="1"/>
  <c r="AE35" i="2"/>
  <c r="BD35" i="2" s="1"/>
  <c r="DC88" i="1"/>
  <c r="DS104" i="1"/>
  <c r="BZ154" i="1"/>
  <c r="CO154" i="1"/>
  <c r="DO150" i="1"/>
  <c r="DE142" i="1"/>
  <c r="DK146" i="1"/>
  <c r="DQ153" i="1"/>
  <c r="ED23" i="1"/>
  <c r="CC23" i="1"/>
  <c r="DB23" i="1" s="1"/>
  <c r="DG148" i="1"/>
  <c r="DC124" i="1"/>
  <c r="AY153" i="1"/>
  <c r="BS142" i="1"/>
  <c r="ED83" i="1"/>
  <c r="AP144" i="1"/>
  <c r="AP154" i="1" s="1"/>
  <c r="CL144" i="1"/>
  <c r="AT144" i="1"/>
  <c r="AT154" i="1" s="1"/>
  <c r="CB147" i="1"/>
  <c r="DZ121" i="1"/>
  <c r="DV80" i="1"/>
  <c r="BE75" i="1"/>
  <c r="EC75" i="1" s="1"/>
  <c r="DV121" i="1"/>
  <c r="BC153" i="1"/>
  <c r="DC26" i="1"/>
  <c r="ED26" i="1" s="1"/>
  <c r="BS146" i="1"/>
  <c r="EC102" i="1"/>
  <c r="AI154" i="1"/>
  <c r="ED64" i="1"/>
  <c r="BY153" i="1"/>
  <c r="BW146" i="1"/>
  <c r="DM147" i="1"/>
  <c r="DC147" i="1" s="1"/>
  <c r="ED147" i="1" s="1"/>
  <c r="DS150" i="1"/>
  <c r="CB150" i="1"/>
  <c r="DQ80" i="1"/>
  <c r="DC35" i="1"/>
  <c r="ED35" i="1" s="1"/>
  <c r="DT147" i="1"/>
  <c r="DR142" i="1"/>
  <c r="DR144" i="1" s="1"/>
  <c r="CY154" i="1"/>
  <c r="CH153" i="1"/>
  <c r="CH154" i="1" s="1"/>
  <c r="BV144" i="1"/>
  <c r="BE79" i="1"/>
  <c r="EC79" i="1" s="1"/>
  <c r="BX147" i="1"/>
  <c r="BX153" i="1" s="1"/>
  <c r="DF151" i="1"/>
  <c r="DF153" i="1" s="1"/>
  <c r="BX121" i="1"/>
  <c r="DE17" i="1"/>
  <c r="DE149" i="1" s="1"/>
  <c r="CD17" i="1"/>
  <c r="CC17" i="1" s="1"/>
  <c r="DB17" i="1" s="1"/>
  <c r="DF39" i="1"/>
  <c r="DF144" i="1" s="1"/>
  <c r="CF39" i="1"/>
  <c r="CF144" i="1" s="1"/>
  <c r="BX142" i="1"/>
  <c r="AX153" i="1"/>
  <c r="BP142" i="1"/>
  <c r="DN147" i="1"/>
  <c r="DJ154" i="1"/>
  <c r="DV148" i="1"/>
  <c r="BE87" i="1"/>
  <c r="DC48" i="1"/>
  <c r="ED48" i="1" s="1"/>
  <c r="BL153" i="1"/>
  <c r="EC48" i="1"/>
  <c r="CW144" i="1"/>
  <c r="CW154" i="1" s="1"/>
  <c r="CF149" i="1"/>
  <c r="CF153" i="1" s="1"/>
  <c r="DC75" i="1"/>
  <c r="ED75" i="1" s="1"/>
  <c r="DN142" i="1"/>
  <c r="BM80" i="1"/>
  <c r="BM144" i="1" s="1"/>
  <c r="DJ153" i="1"/>
  <c r="DC92" i="1"/>
  <c r="EC84" i="1"/>
  <c r="BM147" i="1"/>
  <c r="EC85" i="1"/>
  <c r="CS144" i="1"/>
  <c r="CS154" i="1" s="1"/>
  <c r="EC56" i="1"/>
  <c r="BQ150" i="1"/>
  <c r="BQ153" i="1" s="1"/>
  <c r="DL153" i="1"/>
  <c r="BR153" i="1"/>
  <c r="CX154" i="1"/>
  <c r="CD151" i="1"/>
  <c r="CC151" i="1" s="1"/>
  <c r="DB151" i="1" s="1"/>
  <c r="BE128" i="1"/>
  <c r="EC128" i="1" s="1"/>
  <c r="AJ153" i="1"/>
  <c r="BN144" i="1"/>
  <c r="BT142" i="1"/>
  <c r="BT144" i="1" s="1"/>
  <c r="ED54" i="1"/>
  <c r="BC144" i="1"/>
  <c r="DU153" i="1"/>
  <c r="CC150" i="1"/>
  <c r="DB150" i="1" s="1"/>
  <c r="DG147" i="1"/>
  <c r="I154" i="1"/>
  <c r="EC140" i="1"/>
  <c r="AE140" i="1"/>
  <c r="BD140" i="1" s="1"/>
  <c r="AE127" i="1"/>
  <c r="BD127" i="1" s="1"/>
  <c r="EC127" i="1"/>
  <c r="BF153" i="1"/>
  <c r="DP146" i="1"/>
  <c r="DP153" i="1" s="1"/>
  <c r="DP142" i="1"/>
  <c r="AE111" i="1"/>
  <c r="BD111" i="1" s="1"/>
  <c r="AE88" i="1"/>
  <c r="BD88" i="1" s="1"/>
  <c r="EC88" i="1"/>
  <c r="CC102" i="1"/>
  <c r="DB102" i="1" s="1"/>
  <c r="ED140" i="1"/>
  <c r="CC140" i="1"/>
  <c r="DB140" i="1" s="1"/>
  <c r="CC126" i="1"/>
  <c r="DB126" i="1" s="1"/>
  <c r="ED126" i="1"/>
  <c r="AE123" i="1"/>
  <c r="BD123" i="1" s="1"/>
  <c r="AF146" i="1"/>
  <c r="AF142" i="1"/>
  <c r="ED115" i="1"/>
  <c r="CC115" i="1"/>
  <c r="DB115" i="1" s="1"/>
  <c r="ED95" i="1"/>
  <c r="CC95" i="1"/>
  <c r="DB95" i="1" s="1"/>
  <c r="AF152" i="1"/>
  <c r="AE81" i="1"/>
  <c r="BD81" i="1" s="1"/>
  <c r="AF104" i="1"/>
  <c r="CV153" i="1"/>
  <c r="DC72" i="1"/>
  <c r="ED72" i="1" s="1"/>
  <c r="EC44" i="1"/>
  <c r="AE44" i="1"/>
  <c r="BD44" i="1" s="1"/>
  <c r="EC55" i="1"/>
  <c r="AE55" i="1"/>
  <c r="BD55" i="1" s="1"/>
  <c r="BE111" i="1"/>
  <c r="EC111" i="1" s="1"/>
  <c r="BE66" i="1"/>
  <c r="DZ150" i="1"/>
  <c r="CA142" i="1"/>
  <c r="CA146" i="1"/>
  <c r="DA152" i="1"/>
  <c r="DA153" i="1" s="1"/>
  <c r="DA104" i="1"/>
  <c r="DA144" i="1" s="1"/>
  <c r="DZ81" i="1"/>
  <c r="CC61" i="1"/>
  <c r="DB61" i="1" s="1"/>
  <c r="ED61" i="1"/>
  <c r="BH151" i="1"/>
  <c r="BH153" i="1" s="1"/>
  <c r="CC111" i="1"/>
  <c r="DB111" i="1" s="1"/>
  <c r="ED111" i="1"/>
  <c r="H154" i="1"/>
  <c r="DD153" i="1"/>
  <c r="AZ154" i="1"/>
  <c r="BL39" i="1"/>
  <c r="BL144" i="1" s="1"/>
  <c r="BU104" i="1"/>
  <c r="CC71" i="1"/>
  <c r="DB71" i="1" s="1"/>
  <c r="AW144" i="1"/>
  <c r="AW154" i="1" s="1"/>
  <c r="AE71" i="1"/>
  <c r="BD71" i="1" s="1"/>
  <c r="ED20" i="1"/>
  <c r="CC20" i="1"/>
  <c r="DB20" i="1" s="1"/>
  <c r="CA144" i="1"/>
  <c r="DO144" i="1"/>
  <c r="DG149" i="1"/>
  <c r="DG153" i="1" s="1"/>
  <c r="DC14" i="1"/>
  <c r="ED14" i="1" s="1"/>
  <c r="EB39" i="1"/>
  <c r="DV152" i="1"/>
  <c r="CN144" i="1"/>
  <c r="CN154" i="1" s="1"/>
  <c r="BE42" i="1"/>
  <c r="EC42" i="1" s="1"/>
  <c r="CC15" i="1"/>
  <c r="DB15" i="1" s="1"/>
  <c r="CC37" i="1"/>
  <c r="DB37" i="1" s="1"/>
  <c r="ED37" i="1"/>
  <c r="DU142" i="1"/>
  <c r="DH153" i="1"/>
  <c r="DH154" i="1" s="1"/>
  <c r="DG121" i="1"/>
  <c r="BN146" i="1"/>
  <c r="BY121" i="1"/>
  <c r="BY144" i="1" s="1"/>
  <c r="DK150" i="1"/>
  <c r="DK80" i="1"/>
  <c r="ED127" i="1"/>
  <c r="CC127" i="1"/>
  <c r="DB127" i="1" s="1"/>
  <c r="CC109" i="1"/>
  <c r="DB109" i="1" s="1"/>
  <c r="EB51" i="1"/>
  <c r="AE51" i="1"/>
  <c r="BD51" i="1" s="1"/>
  <c r="BE98" i="1"/>
  <c r="EC98" i="1" s="1"/>
  <c r="BE72" i="1"/>
  <c r="AV144" i="1"/>
  <c r="BF121" i="1"/>
  <c r="BF144" i="1" s="1"/>
  <c r="DC63" i="1"/>
  <c r="ED63" i="1" s="1"/>
  <c r="DD144" i="1"/>
  <c r="DM142" i="1"/>
  <c r="DM144" i="1" s="1"/>
  <c r="BE109" i="1"/>
  <c r="EC109" i="1" s="1"/>
  <c r="CD121" i="1"/>
  <c r="CC105" i="1"/>
  <c r="DB105" i="1" s="1"/>
  <c r="ED105" i="1"/>
  <c r="BX80" i="1"/>
  <c r="BE41" i="1"/>
  <c r="DY39" i="1"/>
  <c r="AE45" i="1"/>
  <c r="BD45" i="1" s="1"/>
  <c r="DZ147" i="1"/>
  <c r="EC17" i="1"/>
  <c r="AE17" i="1"/>
  <c r="BD17" i="1" s="1"/>
  <c r="CV144" i="1"/>
  <c r="CC43" i="1"/>
  <c r="DB43" i="1" s="1"/>
  <c r="ED43" i="1"/>
  <c r="BU152" i="1"/>
  <c r="G80" i="1"/>
  <c r="EB80" i="1" s="1"/>
  <c r="BE18" i="1"/>
  <c r="EC18" i="1" s="1"/>
  <c r="AF151" i="1"/>
  <c r="EC4" i="1"/>
  <c r="AE4" i="1"/>
  <c r="BD4" i="1" s="1"/>
  <c r="AF39" i="1"/>
  <c r="DE151" i="1"/>
  <c r="AO144" i="1"/>
  <c r="CA151" i="1"/>
  <c r="P144" i="1"/>
  <c r="P154" i="1" s="1"/>
  <c r="DC51" i="1"/>
  <c r="ED51" i="1" s="1"/>
  <c r="DI144" i="1"/>
  <c r="AE21" i="1"/>
  <c r="BD21" i="1" s="1"/>
  <c r="EC21" i="1"/>
  <c r="DV104" i="1"/>
  <c r="DZ80" i="1"/>
  <c r="CC83" i="1"/>
  <c r="DB83" i="1" s="1"/>
  <c r="CC134" i="1"/>
  <c r="DB134" i="1" s="1"/>
  <c r="ED134" i="1"/>
  <c r="EC120" i="1"/>
  <c r="AE120" i="1"/>
  <c r="BD120" i="1" s="1"/>
  <c r="EB101" i="1"/>
  <c r="CC101" i="1"/>
  <c r="DB101" i="1" s="1"/>
  <c r="CC82" i="1"/>
  <c r="DB82" i="1" s="1"/>
  <c r="ED82" i="1"/>
  <c r="EC90" i="1"/>
  <c r="AE90" i="1"/>
  <c r="BD90" i="1" s="1"/>
  <c r="DG142" i="1"/>
  <c r="G150" i="1"/>
  <c r="EB150" i="1" s="1"/>
  <c r="ED122" i="1"/>
  <c r="CB39" i="1"/>
  <c r="BS153" i="1"/>
  <c r="EC105" i="1"/>
  <c r="G121" i="1"/>
  <c r="EB121" i="1" s="1"/>
  <c r="EC134" i="1"/>
  <c r="AE134" i="1"/>
  <c r="BD134" i="1" s="1"/>
  <c r="ED98" i="1"/>
  <c r="CC98" i="1"/>
  <c r="DB98" i="1" s="1"/>
  <c r="AR154" i="1"/>
  <c r="AE110" i="1"/>
  <c r="BD110" i="1" s="1"/>
  <c r="BF148" i="1"/>
  <c r="CD146" i="1"/>
  <c r="AE96" i="1"/>
  <c r="BD96" i="1" s="1"/>
  <c r="EC96" i="1"/>
  <c r="ED60" i="1"/>
  <c r="CC60" i="1"/>
  <c r="DB60" i="1" s="1"/>
  <c r="CK154" i="1"/>
  <c r="DN146" i="1"/>
  <c r="DN153" i="1" s="1"/>
  <c r="DC123" i="1"/>
  <c r="ED123" i="1" s="1"/>
  <c r="DL144" i="1"/>
  <c r="AF148" i="1"/>
  <c r="AV153" i="1"/>
  <c r="CL153" i="1"/>
  <c r="AE106" i="1"/>
  <c r="BD106" i="1" s="1"/>
  <c r="EC106" i="1"/>
  <c r="AF121" i="1"/>
  <c r="AE94" i="1"/>
  <c r="BD94" i="1" s="1"/>
  <c r="EC94" i="1"/>
  <c r="CB152" i="1"/>
  <c r="CB104" i="1"/>
  <c r="CC72" i="1"/>
  <c r="DB72" i="1" s="1"/>
  <c r="EB72" i="1"/>
  <c r="DS152" i="1"/>
  <c r="AE77" i="1"/>
  <c r="BD77" i="1" s="1"/>
  <c r="AS154" i="1"/>
  <c r="AE79" i="1"/>
  <c r="BD79" i="1" s="1"/>
  <c r="BE110" i="1"/>
  <c r="EC110" i="1" s="1"/>
  <c r="BH39" i="1"/>
  <c r="BH144" i="1" s="1"/>
  <c r="BM150" i="1"/>
  <c r="CC63" i="1"/>
  <c r="DB63" i="1" s="1"/>
  <c r="BU144" i="1"/>
  <c r="CB121" i="1"/>
  <c r="BV149" i="1"/>
  <c r="BV153" i="1" s="1"/>
  <c r="BE124" i="1"/>
  <c r="EC124" i="1" s="1"/>
  <c r="CD148" i="1"/>
  <c r="CC84" i="1"/>
  <c r="DB84" i="1" s="1"/>
  <c r="ED84" i="1"/>
  <c r="BJ142" i="1"/>
  <c r="BJ144" i="1" s="1"/>
  <c r="BJ154" i="1" s="1"/>
  <c r="EC116" i="1"/>
  <c r="AE116" i="1"/>
  <c r="BD116" i="1" s="1"/>
  <c r="AE92" i="1"/>
  <c r="BD92" i="1" s="1"/>
  <c r="EC92" i="1"/>
  <c r="EC43" i="1"/>
  <c r="AE43" i="1"/>
  <c r="BD43" i="1" s="1"/>
  <c r="CB80" i="1"/>
  <c r="G104" i="1"/>
  <c r="EB104" i="1" s="1"/>
  <c r="ED56" i="1"/>
  <c r="CC56" i="1"/>
  <c r="DB56" i="1" s="1"/>
  <c r="AX144" i="1"/>
  <c r="EB100" i="1"/>
  <c r="CC100" i="1"/>
  <c r="DB100" i="1" s="1"/>
  <c r="BE45" i="1"/>
  <c r="EC45" i="1" s="1"/>
  <c r="CC51" i="1"/>
  <c r="DB51" i="1" s="1"/>
  <c r="BT147" i="1"/>
  <c r="BT153" i="1" s="1"/>
  <c r="BU150" i="1"/>
  <c r="BW121" i="1"/>
  <c r="BQ80" i="1"/>
  <c r="EB13" i="1"/>
  <c r="CC13" i="1"/>
  <c r="DB13" i="1" s="1"/>
  <c r="AE13" i="1"/>
  <c r="BD13" i="1" s="1"/>
  <c r="BP144" i="1"/>
  <c r="R153" i="1"/>
  <c r="R154" i="1" s="1"/>
  <c r="AD144" i="1"/>
  <c r="AD154" i="1" s="1"/>
  <c r="DT151" i="1"/>
  <c r="DT153" i="1" s="1"/>
  <c r="DT39" i="1"/>
  <c r="BE46" i="1"/>
  <c r="EC46" i="1" s="1"/>
  <c r="EC12" i="1"/>
  <c r="AE12" i="1"/>
  <c r="BD12" i="1" s="1"/>
  <c r="AE32" i="1"/>
  <c r="BD32" i="1" s="1"/>
  <c r="EB32" i="1"/>
  <c r="BW144" i="1"/>
  <c r="DR153" i="1"/>
  <c r="AE128" i="1"/>
  <c r="BD128" i="1" s="1"/>
  <c r="G147" i="1"/>
  <c r="EB147" i="1" s="1"/>
  <c r="DI153" i="1"/>
  <c r="CC131" i="1"/>
  <c r="DB131" i="1" s="1"/>
  <c r="ED131" i="1"/>
  <c r="DW148" i="1"/>
  <c r="DW153" i="1" s="1"/>
  <c r="DW121" i="1"/>
  <c r="DW144" i="1" s="1"/>
  <c r="CC48" i="1"/>
  <c r="DB48" i="1" s="1"/>
  <c r="AM154" i="1"/>
  <c r="BO142" i="1"/>
  <c r="BO144" i="1" s="1"/>
  <c r="ED40" i="1"/>
  <c r="G146" i="1"/>
  <c r="EB123" i="1"/>
  <c r="CC123" i="1"/>
  <c r="DB123" i="1" s="1"/>
  <c r="ED106" i="1"/>
  <c r="CC106" i="1"/>
  <c r="DB106" i="1" s="1"/>
  <c r="G148" i="1"/>
  <c r="EB148" i="1" s="1"/>
  <c r="ED125" i="1"/>
  <c r="CC125" i="1"/>
  <c r="DB125" i="1" s="1"/>
  <c r="AE109" i="1"/>
  <c r="BD109" i="1" s="1"/>
  <c r="BN150" i="1"/>
  <c r="ED110" i="1"/>
  <c r="CC110" i="1"/>
  <c r="DB110" i="1" s="1"/>
  <c r="BG147" i="1"/>
  <c r="DK144" i="1"/>
  <c r="CC77" i="1"/>
  <c r="DB77" i="1" s="1"/>
  <c r="AE23" i="1"/>
  <c r="BD23" i="1" s="1"/>
  <c r="EC23" i="1"/>
  <c r="AO153" i="1"/>
  <c r="CM153" i="1"/>
  <c r="CM154" i="1" s="1"/>
  <c r="AE124" i="1"/>
  <c r="BD124" i="1" s="1"/>
  <c r="DE121" i="1"/>
  <c r="DZ142" i="1"/>
  <c r="BI148" i="1"/>
  <c r="BI153" i="1" s="1"/>
  <c r="DC109" i="1"/>
  <c r="ED109" i="1" s="1"/>
  <c r="CC132" i="1"/>
  <c r="DB132" i="1" s="1"/>
  <c r="ED132" i="1"/>
  <c r="BM146" i="1"/>
  <c r="BM142" i="1"/>
  <c r="ED89" i="1"/>
  <c r="CC89" i="1"/>
  <c r="DB89" i="1" s="1"/>
  <c r="EC135" i="1"/>
  <c r="AE135" i="1"/>
  <c r="BD135" i="1" s="1"/>
  <c r="BO153" i="1"/>
  <c r="EB75" i="1"/>
  <c r="AE75" i="1"/>
  <c r="BD75" i="1" s="1"/>
  <c r="DU104" i="1"/>
  <c r="CC42" i="1"/>
  <c r="DB42" i="1" s="1"/>
  <c r="ED42" i="1"/>
  <c r="BE35" i="1"/>
  <c r="EC35" i="1" s="1"/>
  <c r="DC85" i="1"/>
  <c r="ED85" i="1" s="1"/>
  <c r="CD81" i="1"/>
  <c r="CC44" i="1"/>
  <c r="DB44" i="1" s="1"/>
  <c r="ED44" i="1"/>
  <c r="DK147" i="1"/>
  <c r="BS147" i="1"/>
  <c r="BG151" i="1"/>
  <c r="AH153" i="1"/>
  <c r="AG158" i="1" s="1"/>
  <c r="BW148" i="1"/>
  <c r="AN144" i="1"/>
  <c r="DZ151" i="1"/>
  <c r="DZ39" i="1"/>
  <c r="BK144" i="1"/>
  <c r="BK154" i="1" s="1"/>
  <c r="AE126" i="1"/>
  <c r="BD126" i="1" s="1"/>
  <c r="CC75" i="1"/>
  <c r="DB75" i="1" s="1"/>
  <c r="AE54" i="1"/>
  <c r="BD54" i="1" s="1"/>
  <c r="CC22" i="1"/>
  <c r="DB22" i="1" s="1"/>
  <c r="ED22" i="1"/>
  <c r="DX144" i="1"/>
  <c r="DX154" i="1" s="1"/>
  <c r="BQ144" i="1"/>
  <c r="CU144" i="1"/>
  <c r="CU154" i="1" s="1"/>
  <c r="EC87" i="1"/>
  <c r="AE87" i="1"/>
  <c r="BD87" i="1" s="1"/>
  <c r="DC15" i="1"/>
  <c r="ED15" i="1" s="1"/>
  <c r="ED45" i="1"/>
  <c r="CC45" i="1"/>
  <c r="DB45" i="1" s="1"/>
  <c r="DC102" i="1"/>
  <c r="ED102" i="1" s="1"/>
  <c r="AF150" i="1"/>
  <c r="AF80" i="1"/>
  <c r="EC40" i="1"/>
  <c r="AE40" i="1"/>
  <c r="BD40" i="1" s="1"/>
  <c r="CC79" i="1"/>
  <c r="DB79" i="1" s="1"/>
  <c r="ED79" i="1"/>
  <c r="AE61" i="1"/>
  <c r="BD61" i="1" s="1"/>
  <c r="EC61" i="1"/>
  <c r="DG144" i="1"/>
  <c r="BJ153" i="1"/>
  <c r="ED135" i="1"/>
  <c r="CC135" i="1"/>
  <c r="DB135" i="1" s="1"/>
  <c r="DM150" i="1"/>
  <c r="AE41" i="1"/>
  <c r="BD41" i="1" s="1"/>
  <c r="EC41" i="1"/>
  <c r="EC60" i="1"/>
  <c r="AE60" i="1"/>
  <c r="BD60" i="1" s="1"/>
  <c r="AE63" i="1"/>
  <c r="BD63" i="1" s="1"/>
  <c r="DN144" i="1"/>
  <c r="AY154" i="1"/>
  <c r="BI144" i="1"/>
  <c r="ED11" i="1"/>
  <c r="CC11" i="1"/>
  <c r="DB11" i="1" s="1"/>
  <c r="DO153" i="1"/>
  <c r="CD142" i="1"/>
  <c r="EC64" i="1"/>
  <c r="AE64" i="1"/>
  <c r="BD64" i="1" s="1"/>
  <c r="DV150" i="1"/>
  <c r="ED124" i="1"/>
  <c r="CC124" i="1"/>
  <c r="DB124" i="1" s="1"/>
  <c r="AF149" i="1"/>
  <c r="DC105" i="1"/>
  <c r="CP154" i="1"/>
  <c r="EC66" i="1"/>
  <c r="AE66" i="1"/>
  <c r="BD66" i="1" s="1"/>
  <c r="AQ144" i="1"/>
  <c r="AQ154" i="1" s="1"/>
  <c r="BS144" i="1"/>
  <c r="BP153" i="1"/>
  <c r="BR144" i="1"/>
  <c r="BR154" i="1" s="1"/>
  <c r="CZ144" i="1"/>
  <c r="AE101" i="1"/>
  <c r="BD101" i="1" s="1"/>
  <c r="EC69" i="1"/>
  <c r="AE69" i="1"/>
  <c r="BD69" i="1" s="1"/>
  <c r="CE153" i="1"/>
  <c r="CE154" i="1" s="1"/>
  <c r="P153" i="1"/>
  <c r="CC118" i="1"/>
  <c r="DB118" i="1" s="1"/>
  <c r="ED118" i="1"/>
  <c r="AE125" i="1"/>
  <c r="BD125" i="1" s="1"/>
  <c r="EC125" i="1"/>
  <c r="ED92" i="1"/>
  <c r="CC92" i="1"/>
  <c r="DB92" i="1" s="1"/>
  <c r="AN153" i="1"/>
  <c r="AE83" i="1"/>
  <c r="BD83" i="1" s="1"/>
  <c r="EB83" i="1"/>
  <c r="AE133" i="1"/>
  <c r="BD133" i="1" s="1"/>
  <c r="EC133" i="1"/>
  <c r="BG152" i="1"/>
  <c r="BG104" i="1"/>
  <c r="BG144" i="1" s="1"/>
  <c r="BE81" i="1"/>
  <c r="EC72" i="1"/>
  <c r="AE72" i="1"/>
  <c r="BD72" i="1" s="1"/>
  <c r="CT152" i="1"/>
  <c r="CT153" i="1" s="1"/>
  <c r="CD88" i="1"/>
  <c r="CT104" i="1"/>
  <c r="CT144" i="1" s="1"/>
  <c r="AF147" i="1"/>
  <c r="AE35" i="1"/>
  <c r="BD35" i="1" s="1"/>
  <c r="EC82" i="1"/>
  <c r="AE82" i="1"/>
  <c r="BD82" i="1" s="1"/>
  <c r="DY146" i="1"/>
  <c r="DY153" i="1" s="1"/>
  <c r="DY142" i="1"/>
  <c r="DE152" i="1"/>
  <c r="DE104" i="1"/>
  <c r="BB144" i="1"/>
  <c r="BB154" i="1" s="1"/>
  <c r="CC57" i="1"/>
  <c r="DB57" i="1" s="1"/>
  <c r="AE48" i="1"/>
  <c r="BD48" i="1" s="1"/>
  <c r="AE129" i="1"/>
  <c r="BD129" i="1" s="1"/>
  <c r="EC129" i="1"/>
  <c r="BE123" i="1"/>
  <c r="EC123" i="1" s="1"/>
  <c r="X154" i="1"/>
  <c r="DP144" i="1"/>
  <c r="BE101" i="1"/>
  <c r="EC101" i="1" s="1"/>
  <c r="AE26" i="1"/>
  <c r="BD26" i="1" s="1"/>
  <c r="EB26" i="1"/>
  <c r="BN147" i="1"/>
  <c r="DQ39" i="1"/>
  <c r="DQ144" i="1" s="1"/>
  <c r="DQ154" i="1" s="1"/>
  <c r="CD80" i="1"/>
  <c r="DS39" i="1"/>
  <c r="DS144" i="1" s="1"/>
  <c r="EB143" i="2" l="1"/>
  <c r="EI143" i="2"/>
  <c r="EB153" i="2"/>
  <c r="EI154" i="2"/>
  <c r="EB148" i="2"/>
  <c r="EI149" i="2"/>
  <c r="EI156" i="2" s="1"/>
  <c r="EB150" i="2"/>
  <c r="EI151" i="2"/>
  <c r="CA145" i="2"/>
  <c r="EB122" i="2"/>
  <c r="EI122" i="2"/>
  <c r="EB81" i="2"/>
  <c r="EI81" i="2"/>
  <c r="EB105" i="2"/>
  <c r="EI105" i="2"/>
  <c r="EB152" i="2"/>
  <c r="EI153" i="2"/>
  <c r="EB149" i="2"/>
  <c r="EI150" i="2"/>
  <c r="DL145" i="2"/>
  <c r="EB151" i="2"/>
  <c r="EI152" i="2"/>
  <c r="BG145" i="2"/>
  <c r="BN145" i="2"/>
  <c r="CD153" i="2"/>
  <c r="DU145" i="2"/>
  <c r="BU145" i="2"/>
  <c r="DG154" i="2"/>
  <c r="CB154" i="2"/>
  <c r="BM145" i="2"/>
  <c r="DM154" i="2"/>
  <c r="DC150" i="2"/>
  <c r="ED150" i="2" s="1"/>
  <c r="DC122" i="2"/>
  <c r="ED122" i="2" s="1"/>
  <c r="BE148" i="2"/>
  <c r="EC148" i="2" s="1"/>
  <c r="BE150" i="2"/>
  <c r="EC150" i="2" s="1"/>
  <c r="BE122" i="2"/>
  <c r="EC122" i="2" s="1"/>
  <c r="BE153" i="2"/>
  <c r="EC153" i="2" s="1"/>
  <c r="BE105" i="2"/>
  <c r="EC105" i="2" s="1"/>
  <c r="DA154" i="2"/>
  <c r="BW154" i="2"/>
  <c r="BE152" i="2"/>
  <c r="EC152" i="2" s="1"/>
  <c r="DA145" i="2"/>
  <c r="DC152" i="2"/>
  <c r="ED152" i="2" s="1"/>
  <c r="DR145" i="2"/>
  <c r="BO154" i="2"/>
  <c r="BO145" i="2"/>
  <c r="BV154" i="2"/>
  <c r="DU154" i="2"/>
  <c r="BP154" i="2"/>
  <c r="AE150" i="2"/>
  <c r="BD150" i="2" s="1"/>
  <c r="CC150" i="2"/>
  <c r="DB150" i="2" s="1"/>
  <c r="BU153" i="1"/>
  <c r="DC148" i="1"/>
  <c r="ED148" i="1" s="1"/>
  <c r="BE149" i="2"/>
  <c r="EC149" i="2" s="1"/>
  <c r="DQ145" i="2"/>
  <c r="DS153" i="1"/>
  <c r="DT145" i="2"/>
  <c r="BE81" i="2"/>
  <c r="EC81" i="2" s="1"/>
  <c r="CD151" i="2"/>
  <c r="DI154" i="1"/>
  <c r="BQ154" i="1"/>
  <c r="DU144" i="1"/>
  <c r="DU154" i="1" s="1"/>
  <c r="DT144" i="1"/>
  <c r="CB153" i="1"/>
  <c r="DE153" i="1"/>
  <c r="DE145" i="2"/>
  <c r="BG154" i="2"/>
  <c r="AH158" i="2"/>
  <c r="BE151" i="2"/>
  <c r="EC151" i="2" s="1"/>
  <c r="BE151" i="1"/>
  <c r="EC151" i="1" s="1"/>
  <c r="BO154" i="1"/>
  <c r="CL154" i="1"/>
  <c r="CV154" i="1"/>
  <c r="BE150" i="1"/>
  <c r="BV154" i="1"/>
  <c r="AH157" i="1"/>
  <c r="DK145" i="2"/>
  <c r="DT154" i="2"/>
  <c r="CC143" i="2"/>
  <c r="DB143" i="2" s="1"/>
  <c r="BE147" i="2"/>
  <c r="EC147" i="2" s="1"/>
  <c r="BN154" i="2"/>
  <c r="BM154" i="2"/>
  <c r="CC122" i="2"/>
  <c r="DB122" i="2" s="1"/>
  <c r="CB145" i="2"/>
  <c r="DV105" i="2"/>
  <c r="DC98" i="2"/>
  <c r="ED98" i="2" s="1"/>
  <c r="DK154" i="2"/>
  <c r="BI145" i="2"/>
  <c r="G145" i="2"/>
  <c r="EB40" i="2"/>
  <c r="BP145" i="2"/>
  <c r="CC149" i="2"/>
  <c r="DB149" i="2" s="1"/>
  <c r="CC148" i="2"/>
  <c r="DB148" i="2" s="1"/>
  <c r="AF145" i="2"/>
  <c r="AE40" i="2"/>
  <c r="BD40" i="2" s="1"/>
  <c r="BF154" i="2"/>
  <c r="BI154" i="2"/>
  <c r="BE143" i="2"/>
  <c r="EC143" i="2" s="1"/>
  <c r="AE148" i="2"/>
  <c r="BD148" i="2" s="1"/>
  <c r="DC40" i="2"/>
  <c r="ED40" i="2" s="1"/>
  <c r="CC98" i="2"/>
  <c r="DB98" i="2" s="1"/>
  <c r="AE149" i="2"/>
  <c r="BD149" i="2" s="1"/>
  <c r="ED110" i="2"/>
  <c r="DZ153" i="2"/>
  <c r="DC153" i="2" s="1"/>
  <c r="ED153" i="2" s="1"/>
  <c r="DZ105" i="2"/>
  <c r="DZ145" i="2" s="1"/>
  <c r="DC82" i="2"/>
  <c r="ED82" i="2" s="1"/>
  <c r="AE81" i="2"/>
  <c r="BD81" i="2" s="1"/>
  <c r="BX154" i="2"/>
  <c r="AE152" i="2"/>
  <c r="BD152" i="2" s="1"/>
  <c r="DC143" i="2"/>
  <c r="ED143" i="2" s="1"/>
  <c r="AF154" i="2"/>
  <c r="AE147" i="2"/>
  <c r="BD147" i="2" s="1"/>
  <c r="AE122" i="2"/>
  <c r="BD122" i="2" s="1"/>
  <c r="CC152" i="2"/>
  <c r="DB152" i="2" s="1"/>
  <c r="DV154" i="2"/>
  <c r="DN154" i="2"/>
  <c r="AE143" i="2"/>
  <c r="BD143" i="2" s="1"/>
  <c r="ED64" i="2"/>
  <c r="CC64" i="2"/>
  <c r="DB64" i="2" s="1"/>
  <c r="AE105" i="2"/>
  <c r="BD105" i="2" s="1"/>
  <c r="DC149" i="2"/>
  <c r="ED149" i="2" s="1"/>
  <c r="AE151" i="2"/>
  <c r="BD151" i="2" s="1"/>
  <c r="DS81" i="2"/>
  <c r="DS145" i="2" s="1"/>
  <c r="DC73" i="2"/>
  <c r="ED73" i="2" s="1"/>
  <c r="DS151" i="2"/>
  <c r="DS154" i="2" s="1"/>
  <c r="CW154" i="2"/>
  <c r="DC147" i="2"/>
  <c r="EB147" i="2"/>
  <c r="G154" i="2"/>
  <c r="EB154" i="2" s="1"/>
  <c r="DO151" i="2"/>
  <c r="DO154" i="2" s="1"/>
  <c r="DO81" i="2"/>
  <c r="DO145" i="2" s="1"/>
  <c r="CC147" i="2"/>
  <c r="DB147" i="2" s="1"/>
  <c r="CC40" i="2"/>
  <c r="DB40" i="2" s="1"/>
  <c r="CC46" i="2"/>
  <c r="DB46" i="2" s="1"/>
  <c r="ED46" i="2"/>
  <c r="CD81" i="2"/>
  <c r="EJ81" i="2" s="1"/>
  <c r="ED80" i="2"/>
  <c r="CC80" i="2"/>
  <c r="DB80" i="2" s="1"/>
  <c r="AE153" i="2"/>
  <c r="BD153" i="2" s="1"/>
  <c r="DC148" i="2"/>
  <c r="ED148" i="2" s="1"/>
  <c r="DE154" i="2"/>
  <c r="BE40" i="2"/>
  <c r="CC82" i="2"/>
  <c r="DB82" i="2" s="1"/>
  <c r="CD105" i="2"/>
  <c r="EJ105" i="2" s="1"/>
  <c r="CC73" i="2"/>
  <c r="DB73" i="2" s="1"/>
  <c r="DD154" i="1"/>
  <c r="DK153" i="1"/>
  <c r="DV144" i="1"/>
  <c r="DC151" i="1"/>
  <c r="ED151" i="1" s="1"/>
  <c r="BC154" i="1"/>
  <c r="CD149" i="1"/>
  <c r="CC149" i="1" s="1"/>
  <c r="DB149" i="1" s="1"/>
  <c r="CD39" i="1"/>
  <c r="CC39" i="1" s="1"/>
  <c r="DB39" i="1" s="1"/>
  <c r="DV153" i="1"/>
  <c r="DM153" i="1"/>
  <c r="DM154" i="1" s="1"/>
  <c r="BM153" i="1"/>
  <c r="DC142" i="1"/>
  <c r="BX144" i="1"/>
  <c r="BX154" i="1" s="1"/>
  <c r="BF154" i="1"/>
  <c r="DE39" i="1"/>
  <c r="DE144" i="1" s="1"/>
  <c r="CA153" i="1"/>
  <c r="BS154" i="1"/>
  <c r="CF154" i="1"/>
  <c r="BE152" i="1"/>
  <c r="CT154" i="1"/>
  <c r="BW153" i="1"/>
  <c r="BW154" i="1" s="1"/>
  <c r="DF154" i="1"/>
  <c r="DL154" i="1"/>
  <c r="BY154" i="1"/>
  <c r="DC17" i="1"/>
  <c r="ED17" i="1" s="1"/>
  <c r="AV154" i="1"/>
  <c r="DN154" i="1"/>
  <c r="AX154" i="1"/>
  <c r="BL154" i="1"/>
  <c r="DW154" i="1"/>
  <c r="EC147" i="1"/>
  <c r="AE147" i="1"/>
  <c r="BD147" i="1" s="1"/>
  <c r="BE142" i="1"/>
  <c r="AE149" i="1"/>
  <c r="BD149" i="1" s="1"/>
  <c r="BT154" i="1"/>
  <c r="BG153" i="1"/>
  <c r="BG154" i="1" s="1"/>
  <c r="BE147" i="1"/>
  <c r="AH154" i="1"/>
  <c r="AF144" i="1"/>
  <c r="AE39" i="1"/>
  <c r="BD39" i="1" s="1"/>
  <c r="EC39" i="1"/>
  <c r="DY144" i="1"/>
  <c r="DY154" i="1" s="1"/>
  <c r="G144" i="1"/>
  <c r="DC146" i="1"/>
  <c r="DZ152" i="1"/>
  <c r="DZ153" i="1" s="1"/>
  <c r="DZ104" i="1"/>
  <c r="DC104" i="1" s="1"/>
  <c r="DC81" i="1"/>
  <c r="ED81" i="1" s="1"/>
  <c r="AF153" i="1"/>
  <c r="AE146" i="1"/>
  <c r="BD146" i="1" s="1"/>
  <c r="DS154" i="1"/>
  <c r="DP154" i="1"/>
  <c r="BE104" i="1"/>
  <c r="DC150" i="1"/>
  <c r="ED150" i="1" s="1"/>
  <c r="CC142" i="1"/>
  <c r="DB142" i="1" s="1"/>
  <c r="ED142" i="1"/>
  <c r="DR154" i="1"/>
  <c r="AE80" i="1"/>
  <c r="BD80" i="1" s="1"/>
  <c r="AN154" i="1"/>
  <c r="CD104" i="1"/>
  <c r="CC81" i="1"/>
  <c r="DB81" i="1" s="1"/>
  <c r="DC80" i="1"/>
  <c r="BP154" i="1"/>
  <c r="BH154" i="1"/>
  <c r="CB144" i="1"/>
  <c r="BN153" i="1"/>
  <c r="BN154" i="1" s="1"/>
  <c r="EC152" i="1"/>
  <c r="AE152" i="1"/>
  <c r="BD152" i="1" s="1"/>
  <c r="BE146" i="1"/>
  <c r="AE148" i="1"/>
  <c r="BD148" i="1" s="1"/>
  <c r="BE121" i="1"/>
  <c r="EC121" i="1" s="1"/>
  <c r="DE154" i="1"/>
  <c r="CC80" i="1"/>
  <c r="DB80" i="1" s="1"/>
  <c r="ED80" i="1"/>
  <c r="AE151" i="1"/>
  <c r="BD151" i="1" s="1"/>
  <c r="CD152" i="1"/>
  <c r="DO154" i="1"/>
  <c r="BE80" i="1"/>
  <c r="EC80" i="1" s="1"/>
  <c r="G153" i="1"/>
  <c r="EB153" i="1" s="1"/>
  <c r="EB146" i="1"/>
  <c r="BU154" i="1"/>
  <c r="AE121" i="1"/>
  <c r="BD121" i="1" s="1"/>
  <c r="BE148" i="1"/>
  <c r="EC148" i="1" s="1"/>
  <c r="BE149" i="1"/>
  <c r="EC149" i="1" s="1"/>
  <c r="DG154" i="1"/>
  <c r="DA154" i="1"/>
  <c r="ED88" i="1"/>
  <c r="CC88" i="1"/>
  <c r="DB88" i="1" s="1"/>
  <c r="DK154" i="1"/>
  <c r="CC148" i="1"/>
  <c r="DB148" i="1" s="1"/>
  <c r="AO154" i="1"/>
  <c r="CC121" i="1"/>
  <c r="DB121" i="1" s="1"/>
  <c r="EC81" i="1"/>
  <c r="CC147" i="1"/>
  <c r="DB147" i="1" s="1"/>
  <c r="AE150" i="1"/>
  <c r="BD150" i="1" s="1"/>
  <c r="EC150" i="1"/>
  <c r="DT154" i="1"/>
  <c r="CC146" i="1"/>
  <c r="DB146" i="1" s="1"/>
  <c r="ED146" i="1"/>
  <c r="BI154" i="1"/>
  <c r="BM154" i="1"/>
  <c r="DC121" i="1"/>
  <c r="ED121" i="1" s="1"/>
  <c r="DC149" i="1"/>
  <c r="BE39" i="1"/>
  <c r="AE104" i="1"/>
  <c r="BD104" i="1" s="1"/>
  <c r="EC104" i="1"/>
  <c r="AE142" i="1"/>
  <c r="BD142" i="1" s="1"/>
  <c r="EC142" i="1"/>
  <c r="CC151" i="2" l="1"/>
  <c r="DB151" i="2" s="1"/>
  <c r="EJ152" i="2"/>
  <c r="CC153" i="2"/>
  <c r="DB153" i="2" s="1"/>
  <c r="EJ154" i="2"/>
  <c r="EI145" i="2"/>
  <c r="EJ145" i="2"/>
  <c r="CD145" i="2"/>
  <c r="CC145" i="2" s="1"/>
  <c r="BE145" i="2"/>
  <c r="DC105" i="2"/>
  <c r="ED105" i="2" s="1"/>
  <c r="ED149" i="1"/>
  <c r="CB154" i="1"/>
  <c r="BE154" i="2"/>
  <c r="EC154" i="2" s="1"/>
  <c r="CD153" i="1"/>
  <c r="CC153" i="1" s="1"/>
  <c r="DB153" i="1" s="1"/>
  <c r="CD154" i="2"/>
  <c r="DV145" i="2"/>
  <c r="DC81" i="2"/>
  <c r="ED81" i="2" s="1"/>
  <c r="CC81" i="2"/>
  <c r="DB81" i="2" s="1"/>
  <c r="DZ154" i="2"/>
  <c r="AE154" i="2"/>
  <c r="BD154" i="2" s="1"/>
  <c r="ED147" i="2"/>
  <c r="CC105" i="2"/>
  <c r="DB105" i="2" s="1"/>
  <c r="EC40" i="2"/>
  <c r="AE145" i="2"/>
  <c r="BD145" i="2" s="1"/>
  <c r="EB145" i="2"/>
  <c r="DC151" i="2"/>
  <c r="ED151" i="2" s="1"/>
  <c r="BE153" i="1"/>
  <c r="DC39" i="1"/>
  <c r="ED39" i="1" s="1"/>
  <c r="DV154" i="1"/>
  <c r="CD144" i="1"/>
  <c r="CC144" i="1"/>
  <c r="ED104" i="1"/>
  <c r="CC104" i="1"/>
  <c r="DB104" i="1" s="1"/>
  <c r="EC146" i="1"/>
  <c r="DZ144" i="1"/>
  <c r="DZ154" i="1" s="1"/>
  <c r="CC152" i="1"/>
  <c r="DB152" i="1" s="1"/>
  <c r="EC153" i="1"/>
  <c r="AE153" i="1"/>
  <c r="BD153" i="1" s="1"/>
  <c r="BE144" i="1"/>
  <c r="BE154" i="1" s="1"/>
  <c r="DC152" i="1"/>
  <c r="ED152" i="1" s="1"/>
  <c r="AF154" i="1"/>
  <c r="AE144" i="1"/>
  <c r="BD144" i="1" s="1"/>
  <c r="G154" i="1"/>
  <c r="EB144" i="1"/>
  <c r="EJ156" i="2" l="1"/>
  <c r="EC145" i="2"/>
  <c r="CC154" i="2"/>
  <c r="DB154" i="2" s="1"/>
  <c r="CD154" i="1"/>
  <c r="DC144" i="1"/>
  <c r="ED144" i="1" s="1"/>
  <c r="DC145" i="2"/>
  <c r="DB145" i="2"/>
  <c r="DC154" i="2"/>
  <c r="ED154" i="2" s="1"/>
  <c r="EC144" i="1"/>
  <c r="DC153" i="1"/>
  <c r="DC154" i="1" s="1"/>
  <c r="CC154" i="1"/>
  <c r="DB144" i="1"/>
  <c r="DB154" i="1" s="1"/>
  <c r="ED145" i="2" l="1"/>
  <c r="ED153" i="1"/>
</calcChain>
</file>

<file path=xl/comments1.xml><?xml version="1.0" encoding="utf-8"?>
<comments xmlns="http://schemas.openxmlformats.org/spreadsheetml/2006/main">
  <authors>
    <author>Planeación</author>
  </authors>
  <commentList>
    <comment ref="AB48" authorId="0">
      <text>
        <r>
          <rPr>
            <b/>
            <sz val="11"/>
            <color indexed="81"/>
            <rFont val="Tahoma"/>
            <charset val="1"/>
          </rPr>
          <t>Planeación:</t>
        </r>
        <r>
          <rPr>
            <sz val="11"/>
            <color indexed="81"/>
            <rFont val="Tahoma"/>
            <charset val="1"/>
          </rPr>
          <t xml:space="preserve">
D. Educación y Cultura Ambiental $88.067.217 D. Ciencias Salud $31.302.788
     </t>
        </r>
      </text>
    </comment>
    <comment ref="Z110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6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B49" authorId="0">
      <text>
        <r>
          <rPr>
            <b/>
            <sz val="11"/>
            <color indexed="81"/>
            <rFont val="Tahoma"/>
            <charset val="1"/>
          </rPr>
          <t>Planeación:</t>
        </r>
        <r>
          <rPr>
            <sz val="11"/>
            <color indexed="81"/>
            <rFont val="Tahoma"/>
            <charset val="1"/>
          </rPr>
          <t xml:space="preserve">
D. Educación y Cultura Ambiental $88.067.217 D. Ciencias Salud $31.302.788
     </t>
        </r>
      </text>
    </comment>
    <comment ref="Z11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cinexcusa 
</t>
        </r>
      </text>
    </comment>
    <comment ref="W125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Y125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W12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Y127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<sst xmlns="http://schemas.openxmlformats.org/spreadsheetml/2006/main" count="1257" uniqueCount="438">
  <si>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</si>
  <si>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</si>
  <si>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</si>
  <si>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</si>
  <si>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</si>
  <si>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</si>
  <si>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</si>
  <si>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</si>
  <si>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</si>
  <si>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</si>
  <si>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</si>
  <si>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</si>
  <si>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</si>
  <si>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</si>
  <si>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</si>
  <si>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</si>
  <si>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</si>
  <si>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</si>
  <si>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</si>
  <si>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</si>
  <si>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</si>
  <si>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</si>
  <si>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</si>
  <si>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</si>
  <si>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</si>
  <si>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</si>
  <si>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</si>
  <si>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</si>
  <si>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</si>
  <si>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</si>
  <si>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</si>
  <si>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</si>
  <si>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</si>
  <si>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</si>
  <si>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</si>
  <si>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</si>
  <si>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</si>
  <si>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</si>
  <si>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</si>
  <si>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</si>
  <si>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ASIGNADO</t>
  </si>
  <si>
    <t>CD´P+SALDO</t>
  </si>
  <si>
    <t>RP+SALDO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</si>
  <si>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</si>
  <si>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</si>
  <si>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</si>
  <si>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</si>
  <si>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</si>
  <si>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</si>
  <si>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</si>
  <si>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</si>
  <si>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</si>
  <si>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</si>
  <si>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</si>
  <si>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</si>
  <si>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</si>
  <si>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</si>
  <si>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</si>
  <si>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</si>
  <si>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</si>
  <si>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</si>
  <si>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</si>
  <si>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</si>
  <si>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</si>
  <si>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</si>
  <si>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 xml:space="preserve">Escuela de Formación e Innovación Tecnológica.
  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</si>
  <si>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</si>
  <si>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</si>
  <si>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</si>
  <si>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</si>
  <si>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</si>
  <si>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SF-PY3.1.1</t>
  </si>
  <si>
    <t>Doctorados</t>
  </si>
  <si>
    <t>SF-PY3.1.2</t>
  </si>
  <si>
    <t xml:space="preserve"> Escuela de Formación Pedagógica
(formación y acompañamiento en  Pedagogía, alcance y materialización del PEU y  labor de consejerías).</t>
  </si>
  <si>
    <t>SF-PY3.2.1</t>
  </si>
  <si>
    <t>Maestrías</t>
  </si>
  <si>
    <t>SF-PY3.2.2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</si>
  <si>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</si>
  <si>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</si>
  <si>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</si>
  <si>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</si>
  <si>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</si>
  <si>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</si>
  <si>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</si>
  <si>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Quinquenal.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</si>
  <si>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</si>
  <si>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</si>
  <si>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</si>
  <si>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</t>
  </si>
  <si>
    <t>SF-PY4.2</t>
  </si>
  <si>
    <t xml:space="preserve">Programa de Formación para el fortalecimiento de las Competencias del examen Saber Pro. </t>
  </si>
  <si>
    <t>SF-PY4.3</t>
  </si>
  <si>
    <t xml:space="preserve">Programa Consejerías Académicas: por un acompañamiento integral al estudiante y al docente Surcolombiano. </t>
  </si>
  <si>
    <t>SF-PY4.4</t>
  </si>
  <si>
    <t>Politica de Inclusión Universidad Surcolombiana. PLAN DE MEJORAMIENTO.</t>
  </si>
  <si>
    <t>SF-PY4.5</t>
  </si>
  <si>
    <t>Promoción de la permanencia y graduación en la Universidad.</t>
  </si>
  <si>
    <t>SF-PY5.  Acreditación de Alta Calidad de la Universidad</t>
  </si>
  <si>
    <t>SF-PY5.1</t>
  </si>
  <si>
    <t>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</si>
  <si>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</si>
  <si>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</si>
  <si>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</si>
  <si>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</si>
  <si>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</si>
  <si>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</si>
  <si>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</si>
  <si>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</si>
  <si>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 xml:space="preserve">Evaluación de los currículos y su reforma para hacerlos socialmente pertinentes y académicamente relevantes en coherencia con los planteamientos del PEU,  la Humanización y la Ciencia para la Paz. PLAN DE MEJORAMIENTO. 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</si>
  <si>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</si>
  <si>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</si>
  <si>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</si>
  <si>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</si>
  <si>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</si>
  <si>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</si>
  <si>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</si>
  <si>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</si>
  <si>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</si>
  <si>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</si>
  <si>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Laboral.</t>
  </si>
  <si>
    <t>SF-PY7.2</t>
  </si>
  <si>
    <t>Programa de Seguimiento a Graduados.</t>
  </si>
  <si>
    <t>V.ACADEMICA
FACECO
F. EDUCACIÓN
FACIEN</t>
  </si>
  <si>
    <t>SF-PY8.  Fortalecimiento y Fomento del Sistema de Bibliotecas de la Universidad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</si>
  <si>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</si>
  <si>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</si>
  <si>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</si>
  <si>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</si>
  <si>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</si>
  <si>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</si>
  <si>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</si>
  <si>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</si>
  <si>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 MEJORAMIENTO.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</si>
  <si>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</si>
  <si>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</si>
  <si>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</si>
  <si>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</si>
  <si>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</si>
  <si>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</si>
  <si>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</si>
  <si>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</si>
  <si>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</si>
  <si>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</si>
  <si>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</si>
  <si>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</si>
  <si>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</si>
  <si>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</si>
  <si>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</si>
  <si>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</si>
  <si>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</si>
  <si>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</si>
  <si>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</si>
  <si>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</si>
  <si>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</si>
  <si>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</si>
  <si>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FACIEN, F.C.J.P.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</si>
  <si>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</si>
  <si>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</si>
  <si>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</si>
  <si>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</si>
  <si>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</si>
  <si>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</si>
  <si>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</si>
  <si>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</si>
  <si>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</si>
  <si>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</si>
  <si>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</si>
  <si>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</si>
  <si>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</si>
  <si>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</si>
  <si>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</si>
  <si>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</si>
  <si>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</si>
  <si>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</si>
  <si>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</si>
  <si>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</si>
  <si>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</si>
  <si>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</si>
  <si>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</si>
  <si>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</si>
  <si>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</si>
  <si>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</si>
  <si>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</si>
  <si>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</si>
  <si>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</si>
  <si>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</si>
  <si>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</si>
  <si>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</si>
  <si>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</si>
  <si>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</si>
  <si>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</si>
  <si>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</si>
  <si>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</si>
  <si>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</si>
  <si>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</si>
  <si>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</si>
  <si>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</si>
  <si>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</si>
  <si>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</si>
  <si>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</si>
  <si>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</si>
  <si>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</si>
  <si>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</si>
  <si>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</si>
  <si>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</si>
  <si>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</si>
  <si>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</si>
  <si>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</si>
  <si>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</si>
  <si>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</si>
  <si>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</si>
  <si>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</si>
  <si>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</si>
  <si>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</si>
  <si>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</si>
  <si>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</si>
  <si>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</si>
  <si>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</si>
  <si>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</si>
  <si>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</si>
  <si>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</si>
  <si>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</si>
  <si>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</si>
  <si>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</si>
  <si>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</si>
  <si>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</si>
  <si>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</si>
  <si>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</si>
  <si>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</si>
  <si>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</si>
  <si>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</si>
  <si>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</si>
  <si>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</si>
  <si>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</si>
  <si>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</si>
  <si>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</si>
  <si>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</si>
  <si>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</si>
  <si>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</si>
  <si>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FACIEN, F.C.J.P.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</si>
  <si>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</si>
  <si>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</si>
  <si>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</si>
  <si>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</si>
  <si>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</si>
  <si>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</si>
  <si>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</si>
  <si>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</si>
  <si>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</si>
  <si>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</si>
  <si>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</si>
  <si>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</si>
  <si>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</si>
  <si>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</si>
  <si>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</si>
  <si>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</si>
  <si>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</si>
  <si>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</si>
  <si>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</si>
  <si>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</si>
  <si>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</si>
  <si>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</si>
  <si>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</si>
  <si>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</si>
  <si>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</si>
  <si>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</si>
  <si>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</si>
  <si>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</si>
  <si>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</si>
  <si>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</si>
  <si>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</si>
  <si>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</si>
  <si>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</si>
  <si>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</si>
  <si>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</si>
  <si>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</si>
  <si>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</si>
  <si>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</si>
  <si>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</si>
  <si>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</si>
  <si>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</si>
  <si>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</si>
  <si>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</si>
  <si>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</si>
  <si>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</si>
  <si>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</si>
  <si>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</si>
  <si>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SP-PY7.2</t>
  </si>
  <si>
    <t>Programa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</si>
  <si>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</si>
  <si>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</si>
  <si>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</si>
  <si>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</si>
  <si>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</si>
  <si>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</si>
  <si>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</si>
  <si>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</si>
  <si>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</si>
  <si>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</si>
  <si>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</si>
  <si>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</si>
  <si>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</si>
  <si>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</si>
  <si>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</si>
  <si>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</si>
  <si>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</si>
  <si>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</si>
  <si>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</si>
  <si>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</si>
  <si>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</si>
  <si>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</si>
  <si>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</si>
  <si>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</si>
  <si>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</si>
  <si>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</si>
  <si>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</si>
  <si>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</si>
  <si>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</si>
  <si>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</si>
  <si>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</si>
  <si>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</si>
  <si>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</si>
  <si>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</si>
  <si>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</si>
  <si>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</si>
  <si>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</si>
  <si>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</si>
  <si>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</si>
  <si>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</si>
  <si>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</si>
  <si>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SB-PY6.  Promoción de la Permanencia y Graduación Estudiantil en la USCO.</t>
  </si>
  <si>
    <t>SB-PY6.1</t>
  </si>
  <si>
    <t>Número de estudiantes activos.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</si>
  <si>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</si>
  <si>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</si>
  <si>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</si>
  <si>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</si>
  <si>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</si>
  <si>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</si>
  <si>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</si>
  <si>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</si>
  <si>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</si>
  <si>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</si>
  <si>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</si>
  <si>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</si>
  <si>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</si>
  <si>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</si>
  <si>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</si>
  <si>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</si>
  <si>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</si>
  <si>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</si>
  <si>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</si>
  <si>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</si>
  <si>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</si>
  <si>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</si>
  <si>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</si>
  <si>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</si>
  <si>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</si>
  <si>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</si>
  <si>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</si>
  <si>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</si>
  <si>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</si>
  <si>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</si>
  <si>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</si>
  <si>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</si>
  <si>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</si>
  <si>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</si>
  <si>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</si>
  <si>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</si>
  <si>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SA-PY2.10</t>
  </si>
  <si>
    <t>Equipos de Cómputos (Estudiantes)</t>
  </si>
  <si>
    <t>SA-PY2.12</t>
  </si>
  <si>
    <t>Equipos de Laboratorios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</si>
  <si>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</si>
  <si>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</si>
  <si>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</si>
  <si>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</si>
  <si>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</si>
  <si>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</si>
  <si>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</si>
  <si>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</si>
  <si>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</si>
  <si>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</si>
  <si>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</si>
  <si>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</si>
  <si>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</si>
  <si>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</si>
  <si>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</si>
  <si>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</si>
  <si>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</si>
  <si>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</si>
  <si>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</si>
  <si>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</si>
  <si>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</si>
  <si>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</si>
  <si>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</si>
  <si>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</si>
  <si>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</si>
  <si>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</si>
  <si>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</si>
  <si>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</si>
  <si>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</si>
  <si>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</si>
  <si>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</si>
  <si>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</si>
  <si>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</si>
  <si>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</si>
  <si>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</si>
  <si>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</si>
  <si>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</si>
  <si>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</si>
  <si>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</si>
  <si>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</si>
  <si>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</si>
  <si>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</si>
  <si>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</si>
  <si>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</si>
  <si>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</si>
  <si>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</si>
  <si>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</si>
  <si>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</si>
  <si>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</si>
  <si>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</si>
  <si>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</si>
  <si>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DIFERENCIA</t>
  </si>
  <si>
    <t>MARZO</t>
  </si>
  <si>
    <t>MAYO</t>
  </si>
  <si>
    <t>TOTAL EJECUCIÓN ACUMULADA A OCTUBRE</t>
  </si>
  <si>
    <t xml:space="preserve"> EJECUCIÓN ACUMULADA A AGOSTO</t>
  </si>
  <si>
    <t>PROY. SOCIAL</t>
  </si>
  <si>
    <t>BIENESTAR</t>
  </si>
  <si>
    <t>EJECUCIÓN  TOTAL</t>
  </si>
  <si>
    <t>COMPARATIVO DE EJECUCION  POR SUBSISTEMAS A NOVIEMBRE DE 2019</t>
  </si>
  <si>
    <t>R. EJECUTADOS ACUMADOS A OCTUBRE</t>
  </si>
  <si>
    <t>R. EJECUTADOS NOVIEMBRE</t>
  </si>
  <si>
    <t xml:space="preserve"> EJECUCIÓN ACUMULADA A NOVIEMBRE</t>
  </si>
  <si>
    <t>% DE EJECUCIÓN ACUMULADA A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</si>
</sst>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3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charset val="1"/>
    </font>
    <font>
      <sz val="11"/>
      <color indexed="81"/>
      <name val="Tahoma"/>
      <charset val="1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6" fillId="2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28" fillId="0" borderId="0"/>
  </cellStyleXfs>
  <cellXfs count="26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4" fillId="3" borderId="4" xfId="0" applyFont="1" applyFill="1" applyBorder="1" applyAlignment="1">
      <alignment vertical="center" wrapText="1"/>
    </xf>
    <xf numFmtId="3" fontId="2" fillId="0" borderId="5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7" xfId="0" applyNumberFormat="1" applyFont="1" applyBorder="1" applyAlignment="1">
      <alignment horizontal="center"/>
    </xf>
    <xf numFmtId="0" fontId="4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4" borderId="9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4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4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vertical="center" textRotation="255"/>
    </xf>
    <xf numFmtId="0" fontId="0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horizontal="center" vertical="center" wrapText="1"/>
    </xf>
    <xf numFmtId="3" fontId="9" fillId="0" borderId="9" xfId="0" applyNumberFormat="1" applyFont="1" applyFill="1" applyBorder="1" applyAlignment="1">
      <alignment horizontal="center" vertical="center" wrapText="1"/>
    </xf>
    <xf numFmtId="3" fontId="10" fillId="3" borderId="9" xfId="0" applyNumberFormat="1" applyFont="1" applyFill="1" applyBorder="1" applyAlignment="1">
      <alignment horizontal="right" vertical="center" wrapText="1"/>
    </xf>
    <xf numFmtId="10" fontId="11" fillId="0" borderId="9" xfId="0" applyNumberFormat="1" applyFont="1" applyBorder="1" applyAlignment="1">
      <alignment horizontal="center" vertical="center"/>
    </xf>
    <xf numFmtId="3" fontId="12" fillId="0" borderId="3" xfId="0" applyNumberFormat="1" applyFont="1" applyFill="1" applyBorder="1" applyAlignment="1">
      <alignment horizontal="right" vertical="center" wrapText="1"/>
    </xf>
    <xf numFmtId="3" fontId="10" fillId="3" borderId="3" xfId="0" applyNumberFormat="1" applyFont="1" applyFill="1" applyBorder="1" applyAlignment="1">
      <alignment horizontal="right" vertical="center" wrapText="1"/>
    </xf>
    <xf numFmtId="3" fontId="12" fillId="0" borderId="9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1" xfId="0" applyBorder="1" applyAlignment="1">
      <alignment vertical="center" textRotation="255"/>
    </xf>
    <xf numFmtId="0" fontId="0" fillId="0" borderId="11" xfId="0" applyFont="1" applyBorder="1" applyAlignment="1">
      <alignment horizontal="left" vertical="center" wrapText="1"/>
    </xf>
    <xf numFmtId="0" fontId="8" fillId="3" borderId="9" xfId="0" applyFont="1" applyFill="1" applyBorder="1" applyAlignment="1">
      <alignment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9" xfId="0" applyFont="1" applyBorder="1" applyAlignment="1">
      <alignment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top" wrapText="1"/>
    </xf>
    <xf numFmtId="3" fontId="9" fillId="0" borderId="9" xfId="0" applyNumberFormat="1" applyFont="1" applyFill="1" applyBorder="1" applyAlignment="1">
      <alignment horizontal="center" wrapText="1"/>
    </xf>
    <xf numFmtId="3" fontId="12" fillId="3" borderId="9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center" vertical="top" wrapText="1"/>
    </xf>
    <xf numFmtId="3" fontId="9" fillId="3" borderId="9" xfId="0" applyNumberFormat="1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3" fontId="0" fillId="0" borderId="0" xfId="0" applyNumberFormat="1"/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0" fontId="13" fillId="7" borderId="9" xfId="0" applyFont="1" applyFill="1" applyBorder="1" applyAlignment="1">
      <alignment horizontal="center" vertical="center" wrapText="1"/>
    </xf>
    <xf numFmtId="3" fontId="9" fillId="7" borderId="9" xfId="0" applyNumberFormat="1" applyFont="1" applyFill="1" applyBorder="1" applyAlignment="1">
      <alignment horizontal="center" vertical="center" wrapText="1"/>
    </xf>
    <xf numFmtId="3" fontId="14" fillId="7" borderId="10" xfId="0" applyNumberFormat="1" applyFont="1" applyFill="1" applyBorder="1" applyAlignment="1">
      <alignment vertical="center" wrapText="1"/>
    </xf>
    <xf numFmtId="10" fontId="11" fillId="7" borderId="13" xfId="0" applyNumberFormat="1" applyFont="1" applyFill="1" applyBorder="1" applyAlignment="1">
      <alignment horizontal="center" vertical="center"/>
    </xf>
    <xf numFmtId="3" fontId="8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8" fillId="0" borderId="9" xfId="0" applyFont="1" applyFill="1" applyBorder="1" applyAlignment="1">
      <alignment horizontal="center" vertical="center" wrapText="1"/>
    </xf>
    <xf numFmtId="10" fontId="11" fillId="0" borderId="12" xfId="0" applyNumberFormat="1" applyFont="1" applyBorder="1" applyAlignment="1">
      <alignment horizontal="center" vertical="center"/>
    </xf>
    <xf numFmtId="3" fontId="10" fillId="3" borderId="12" xfId="0" applyNumberFormat="1" applyFont="1" applyFill="1" applyBorder="1" applyAlignment="1">
      <alignment horizontal="righ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left" vertical="center" wrapText="1"/>
    </xf>
    <xf numFmtId="10" fontId="11" fillId="3" borderId="9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0" fontId="13" fillId="7" borderId="13" xfId="0" applyFont="1" applyFill="1" applyBorder="1" applyAlignment="1">
      <alignment horizontal="center" vertical="center" wrapText="1"/>
    </xf>
    <xf numFmtId="3" fontId="9" fillId="7" borderId="13" xfId="0" applyNumberFormat="1" applyFont="1" applyFill="1" applyBorder="1" applyAlignment="1">
      <alignment horizontal="center" vertical="center" wrapText="1"/>
    </xf>
    <xf numFmtId="3" fontId="14" fillId="7" borderId="13" xfId="0" applyNumberFormat="1" applyFont="1" applyFill="1" applyBorder="1" applyAlignment="1">
      <alignment horizontal="right" vertical="center" wrapText="1"/>
    </xf>
    <xf numFmtId="10" fontId="11" fillId="7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left" vertical="top" wrapText="1"/>
    </xf>
    <xf numFmtId="0" fontId="12" fillId="0" borderId="12" xfId="0" applyFont="1" applyBorder="1" applyAlignment="1">
      <alignment horizontal="center" vertical="center" wrapText="1"/>
    </xf>
    <xf numFmtId="0" fontId="8" fillId="0" borderId="12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3" fontId="9" fillId="0" borderId="12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12" xfId="0" applyFont="1" applyFill="1" applyBorder="1" applyAlignment="1">
      <alignment horizontal="left" vertical="top" wrapText="1"/>
    </xf>
    <xf numFmtId="0" fontId="8" fillId="0" borderId="9" xfId="0" applyFont="1" applyFill="1" applyBorder="1" applyAlignment="1">
      <alignment vertical="top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left" vertical="top" wrapText="1"/>
    </xf>
    <xf numFmtId="3" fontId="9" fillId="0" borderId="10" xfId="0" applyNumberFormat="1" applyFont="1" applyFill="1" applyBorder="1" applyAlignment="1">
      <alignment horizontal="center" vertical="center" wrapText="1"/>
    </xf>
    <xf numFmtId="3" fontId="12" fillId="3" borderId="12" xfId="0" applyNumberFormat="1" applyFont="1" applyFill="1" applyBorder="1" applyAlignment="1">
      <alignment horizontal="right" vertical="center" wrapText="1"/>
    </xf>
    <xf numFmtId="3" fontId="12" fillId="3" borderId="9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10" fontId="11" fillId="0" borderId="9" xfId="0" applyNumberFormat="1" applyFont="1" applyFill="1" applyBorder="1" applyAlignment="1">
      <alignment horizontal="center" vertical="center"/>
    </xf>
    <xf numFmtId="3" fontId="10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8" fillId="0" borderId="10" xfId="0" applyFont="1" applyFill="1" applyBorder="1" applyAlignment="1">
      <alignment vertical="center" wrapText="1"/>
    </xf>
    <xf numFmtId="0" fontId="0" fillId="7" borderId="9" xfId="0" applyFill="1" applyBorder="1"/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3" fontId="10" fillId="7" borderId="13" xfId="0" applyNumberFormat="1" applyFont="1" applyFill="1" applyBorder="1" applyAlignment="1">
      <alignment horizontal="righ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10" xfId="0" applyFont="1" applyFill="1" applyBorder="1" applyAlignment="1">
      <alignment horizontal="left" vertical="top" wrapText="1"/>
    </xf>
    <xf numFmtId="0" fontId="8" fillId="0" borderId="11" xfId="0" applyFont="1" applyFill="1" applyBorder="1" applyAlignment="1">
      <alignment horizontal="left" vertical="top" wrapText="1"/>
    </xf>
    <xf numFmtId="0" fontId="6" fillId="3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8" fillId="0" borderId="4" xfId="0" applyFont="1" applyFill="1" applyBorder="1" applyAlignment="1">
      <alignment horizontal="left" vertical="top" wrapText="1"/>
    </xf>
    <xf numFmtId="0" fontId="8" fillId="0" borderId="17" xfId="0" applyFont="1" applyFill="1" applyBorder="1" applyAlignment="1">
      <alignment vertical="center" wrapText="1"/>
    </xf>
    <xf numFmtId="3" fontId="10" fillId="3" borderId="10" xfId="0" applyNumberFormat="1" applyFont="1" applyFill="1" applyBorder="1" applyAlignment="1">
      <alignment horizontal="righ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8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10" fontId="17" fillId="7" borderId="13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255"/>
    </xf>
    <xf numFmtId="0" fontId="8" fillId="0" borderId="19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3" fontId="0" fillId="0" borderId="0" xfId="0" applyNumberFormat="1" applyFill="1"/>
    <xf numFmtId="0" fontId="8" fillId="0" borderId="10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top" wrapText="1"/>
    </xf>
    <xf numFmtId="0" fontId="8" fillId="0" borderId="11" xfId="0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3" xfId="0" applyFill="1" applyBorder="1"/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6" fillId="7" borderId="15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3" fontId="19" fillId="3" borderId="6" xfId="0" applyNumberFormat="1" applyFont="1" applyFill="1" applyBorder="1" applyAlignment="1">
      <alignment horizontal="right" vertical="center" wrapText="1"/>
    </xf>
    <xf numFmtId="3" fontId="19" fillId="3" borderId="12" xfId="0" applyNumberFormat="1" applyFont="1" applyFill="1" applyBorder="1" applyAlignment="1">
      <alignment horizontal="right" vertical="center" wrapText="1"/>
    </xf>
    <xf numFmtId="3" fontId="12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2" fillId="0" borderId="12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8" fillId="0" borderId="2" xfId="0" applyNumberFormat="1" applyFont="1" applyFill="1" applyBorder="1"/>
    <xf numFmtId="3" fontId="8" fillId="0" borderId="9" xfId="0" applyNumberFormat="1" applyFont="1" applyFill="1" applyBorder="1"/>
    <xf numFmtId="3" fontId="6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6" fillId="3" borderId="2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/>
    <xf numFmtId="0" fontId="8" fillId="0" borderId="2" xfId="0" applyFont="1" applyFill="1" applyBorder="1"/>
    <xf numFmtId="0" fontId="0" fillId="0" borderId="9" xfId="0" applyFill="1" applyBorder="1"/>
    <xf numFmtId="3" fontId="6" fillId="0" borderId="9" xfId="0" applyNumberFormat="1" applyFont="1" applyBorder="1" applyAlignment="1">
      <alignment horizontal="right" wrapText="1"/>
    </xf>
    <xf numFmtId="0" fontId="6" fillId="0" borderId="9" xfId="0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vertical="center" wrapText="1"/>
    </xf>
    <xf numFmtId="3" fontId="12" fillId="0" borderId="9" xfId="0" applyNumberFormat="1" applyFont="1" applyBorder="1" applyAlignment="1">
      <alignment vertical="center" wrapText="1"/>
    </xf>
    <xf numFmtId="3" fontId="6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2" fillId="0" borderId="9" xfId="0" applyNumberFormat="1" applyFont="1" applyBorder="1" applyAlignment="1">
      <alignment vertical="center" wrapText="1"/>
    </xf>
    <xf numFmtId="164" fontId="12" fillId="0" borderId="1" xfId="0" applyNumberFormat="1" applyFont="1" applyBorder="1" applyAlignment="1">
      <alignment vertical="center" wrapText="1"/>
    </xf>
    <xf numFmtId="10" fontId="8" fillId="3" borderId="9" xfId="0" applyNumberFormat="1" applyFont="1" applyFill="1" applyBorder="1" applyAlignment="1">
      <alignment horizontal="center" vertical="center"/>
    </xf>
    <xf numFmtId="3" fontId="12" fillId="0" borderId="1" xfId="0" applyNumberFormat="1" applyFont="1" applyBorder="1" applyAlignment="1">
      <alignment vertical="center" wrapText="1"/>
    </xf>
    <xf numFmtId="164" fontId="6" fillId="0" borderId="9" xfId="0" applyNumberFormat="1" applyFont="1" applyBorder="1" applyAlignment="1">
      <alignment vertical="center" wrapText="1"/>
    </xf>
    <xf numFmtId="0" fontId="6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3" borderId="9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/>
    <xf numFmtId="3" fontId="0" fillId="0" borderId="13" xfId="0" applyNumberFormat="1" applyBorder="1"/>
    <xf numFmtId="3" fontId="12" fillId="0" borderId="13" xfId="0" applyNumberFormat="1" applyFont="1" applyBorder="1"/>
    <xf numFmtId="3" fontId="12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2" fillId="0" borderId="16" xfId="0" applyNumberFormat="1" applyFont="1" applyBorder="1"/>
    <xf numFmtId="10" fontId="8" fillId="0" borderId="13" xfId="0" applyNumberFormat="1" applyFont="1" applyBorder="1" applyAlignment="1">
      <alignment horizontal="center" vertical="center"/>
    </xf>
    <xf numFmtId="10" fontId="8" fillId="3" borderId="13" xfId="0" applyNumberFormat="1" applyFont="1" applyFill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18" fillId="4" borderId="9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13" fillId="7" borderId="2" xfId="0" applyFont="1" applyFill="1" applyBorder="1" applyAlignment="1">
      <alignment horizontal="left" vertical="center" wrapText="1"/>
    </xf>
    <xf numFmtId="0" fontId="13" fillId="7" borderId="3" xfId="0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29" fillId="3" borderId="0" xfId="0" applyFont="1" applyFill="1" applyBorder="1" applyAlignment="1">
      <alignment horizontal="center" vertical="center"/>
    </xf>
    <xf numFmtId="0" fontId="29" fillId="3" borderId="0" xfId="0" applyFont="1" applyFill="1" applyBorder="1" applyAlignment="1">
      <alignment horizontal="center" vertical="center" wrapText="1"/>
    </xf>
    <xf numFmtId="0" fontId="30" fillId="3" borderId="0" xfId="0" applyFont="1" applyFill="1" applyBorder="1"/>
    <xf numFmtId="0" fontId="1" fillId="0" borderId="0" xfId="0" applyFont="1"/>
    <xf numFmtId="0" fontId="1" fillId="0" borderId="0" xfId="0" applyFont="1" applyFill="1"/>
    <xf numFmtId="0" fontId="30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0" fontId="0" fillId="3" borderId="0" xfId="0" applyNumberFormat="1" applyFont="1" applyFill="1" applyAlignment="1">
      <alignment horizontal="center"/>
    </xf>
    <xf numFmtId="3" fontId="1" fillId="0" borderId="0" xfId="0" applyNumberFormat="1" applyFont="1"/>
    <xf numFmtId="10" fontId="1" fillId="3" borderId="0" xfId="0" applyNumberFormat="1" applyFont="1" applyFill="1" applyAlignment="1">
      <alignment horizont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8" fontId="12" fillId="3" borderId="9" xfId="0" applyNumberFormat="1" applyFont="1" applyFill="1" applyBorder="1" applyAlignment="1">
      <alignment horizontal="right" vertical="center"/>
    </xf>
    <xf numFmtId="168" fontId="8" fillId="3" borderId="9" xfId="0" applyNumberFormat="1" applyFont="1" applyFill="1" applyBorder="1" applyAlignment="1">
      <alignment horizontal="right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8" fontId="0" fillId="3" borderId="9" xfId="0" applyNumberFormat="1" applyFill="1" applyBorder="1" applyAlignment="1">
      <alignment horizontal="center"/>
    </xf>
    <xf numFmtId="168" fontId="6" fillId="0" borderId="9" xfId="0" applyNumberFormat="1" applyFont="1" applyBorder="1" applyAlignment="1">
      <alignment horizontal="right"/>
    </xf>
    <xf numFmtId="0" fontId="1" fillId="3" borderId="13" xfId="0" applyFont="1" applyFill="1" applyBorder="1" applyAlignment="1">
      <alignment horizontal="center" vertical="center"/>
    </xf>
    <xf numFmtId="168" fontId="12" fillId="3" borderId="13" xfId="0" applyNumberFormat="1" applyFont="1" applyFill="1" applyBorder="1" applyAlignment="1">
      <alignment horizontal="right" vertical="center"/>
    </xf>
    <xf numFmtId="10" fontId="0" fillId="0" borderId="13" xfId="0" applyNumberFormat="1" applyBorder="1" applyAlignment="1">
      <alignment horizontal="center" vertical="center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="1" i="0" baseline="0">
                <a:effectLst/>
              </a:rPr>
              <a:t>EJECUCIÓN PLAN DE ACCIÓN POR SUBSISTEMAS A 30 DE NOVIEMBRE DE 2019</a:t>
            </a:r>
            <a:endParaRPr lang="es-CO" sz="12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'CONSOLIDADO NOV 2019'!$EI$4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8.4602368866328256E-3"/>
                  <c:y val="-2.28050171037628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7377326565143825E-2"/>
                  <c:y val="3.80083618396054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2148900169204735E-2"/>
                  <c:y val="-1.5203344735841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148900169204735E-2"/>
                  <c:y val="-5.7012542759407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2019'!$EH$5:$EH$144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NOV 2019'!$EI$5:$EI$144</c:f>
              <c:numCache>
                <c:formatCode>#,##0</c:formatCode>
                <c:ptCount val="6"/>
                <c:pt idx="0">
                  <c:v>4377995649</c:v>
                </c:pt>
                <c:pt idx="1">
                  <c:v>9091266497</c:v>
                </c:pt>
                <c:pt idx="2">
                  <c:v>4542835904</c:v>
                </c:pt>
                <c:pt idx="3">
                  <c:v>3687641610</c:v>
                </c:pt>
                <c:pt idx="4">
                  <c:v>20745884228</c:v>
                </c:pt>
              </c:numCache>
            </c:numRef>
          </c:val>
        </c:ser>
        <c:ser>
          <c:idx val="1"/>
          <c:order val="1"/>
          <c:tx>
            <c:strRef>
              <c:f>'CONSOLIDADO NOV 2019'!$EJ$4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9069373942470407E-2"/>
                  <c:y val="1.5203344735841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0761421319796954E-2"/>
                  <c:y val="2.28050171037628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7377326565143825E-2"/>
                  <c:y val="1.52033447358418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9069373942470386E-2"/>
                  <c:y val="-3.80083618396047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583756345177665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2019'!$EH$5:$EH$144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NOV 2019'!$EJ$5:$EJ$144</c:f>
              <c:numCache>
                <c:formatCode>#,##0</c:formatCode>
                <c:ptCount val="6"/>
                <c:pt idx="0">
                  <c:v>2908376021</c:v>
                </c:pt>
                <c:pt idx="1">
                  <c:v>4419650242</c:v>
                </c:pt>
                <c:pt idx="2">
                  <c:v>3100070271</c:v>
                </c:pt>
                <c:pt idx="3">
                  <c:v>2972179622</c:v>
                </c:pt>
                <c:pt idx="4">
                  <c:v>8065616326</c:v>
                </c:pt>
              </c:numCache>
            </c:numRef>
          </c:val>
        </c:ser>
        <c:ser>
          <c:idx val="2"/>
          <c:order val="2"/>
          <c:tx>
            <c:strRef>
              <c:f>'CONSOLIDADO NOV 2019'!$EK$4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148900169204735E-2"/>
                  <c:y val="7.60167236792094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38071065989847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380710659898477E-2"/>
                  <c:y val="3.80083618396047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45685279187817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553299492385787E-2"/>
                  <c:y val="-3.80083618396047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2019'!$EH$5:$EH$144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'CONSOLIDADO NOV 2019'!$EK$5:$EK$144</c:f>
              <c:numCache>
                <c:formatCode>0.00%</c:formatCode>
                <c:ptCount val="6"/>
                <c:pt idx="0">
                  <c:v>0.6643</c:v>
                </c:pt>
                <c:pt idx="1">
                  <c:v>0.48609999999999998</c:v>
                </c:pt>
                <c:pt idx="2">
                  <c:v>0.68240000000000001</c:v>
                </c:pt>
                <c:pt idx="3">
                  <c:v>0.80600000000000005</c:v>
                </c:pt>
                <c:pt idx="4">
                  <c:v>0.38879999999999998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30595072"/>
        <c:axId val="130601344"/>
        <c:axId val="0"/>
      </c:bar3DChart>
      <c:catAx>
        <c:axId val="130595072"/>
        <c:scaling>
          <c:orientation val="minMax"/>
        </c:scaling>
        <c:delete val="0"/>
        <c:axPos val="b"/>
        <c:majorTickMark val="none"/>
        <c:minorTickMark val="none"/>
        <c:tickLblPos val="nextTo"/>
        <c:crossAx val="130601344"/>
        <c:crosses val="autoZero"/>
        <c:auto val="1"/>
        <c:lblAlgn val="ctr"/>
        <c:lblOffset val="100"/>
        <c:noMultiLvlLbl val="0"/>
      </c:catAx>
      <c:valAx>
        <c:axId val="13060134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30595072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 b="1" i="0" baseline="0">
                <a:effectLst/>
              </a:rPr>
              <a:t>EJECUCIÓN PLAN DE ACCIÓN POR RUBROS PRESUPUESTALES A 30 DE NOVIEMBRE DE 2019</a:t>
            </a:r>
            <a:endParaRPr lang="es-CO" sz="1200">
              <a:effectLst/>
            </a:endParaRPr>
          </a:p>
        </c:rich>
      </c:tx>
      <c:layout>
        <c:manualLayout>
          <c:xMode val="edge"/>
          <c:yMode val="edge"/>
          <c:x val="0.25249827994801621"/>
          <c:y val="3.6662178885670381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'CONSOLIDADO NOV 2019'!$EI$147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791238877481177E-2"/>
                  <c:y val="3.45423143350604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9356605065023954E-2"/>
                  <c:y val="-1.38169257340241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76454483230663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800821355236076E-2"/>
                  <c:y val="-5.18137434893177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64681724845995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1067761806981518E-2"/>
                  <c:y val="1.0362694300518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4.6201232032854207E-2"/>
                  <c:y val="-1.0362694300518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2019'!$EH$148:$EH$154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'CONSOLIDADO NOV 2019'!$EI$148:$EI$154</c:f>
              <c:numCache>
                <c:formatCode>#,##0</c:formatCode>
                <c:ptCount val="7"/>
                <c:pt idx="0">
                  <c:v>13043802420</c:v>
                </c:pt>
                <c:pt idx="1">
                  <c:v>8014789419</c:v>
                </c:pt>
                <c:pt idx="2">
                  <c:v>3687641610</c:v>
                </c:pt>
                <c:pt idx="3">
                  <c:v>1076000000</c:v>
                </c:pt>
                <c:pt idx="4">
                  <c:v>9091266497</c:v>
                </c:pt>
                <c:pt idx="5">
                  <c:v>2989288038</c:v>
                </c:pt>
                <c:pt idx="6">
                  <c:v>4542835904</c:v>
                </c:pt>
              </c:numCache>
            </c:numRef>
          </c:val>
        </c:ser>
        <c:ser>
          <c:idx val="1"/>
          <c:order val="1"/>
          <c:tx>
            <c:strRef>
              <c:f>'CONSOLIDADO NOV 2019'!$EJ$147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7676443357201708E-2"/>
                  <c:y val="-1.0362694300518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637347068230073E-2"/>
                  <c:y val="-3.45423143350598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2778918548939081E-2"/>
                  <c:y val="6.2176165803108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6225568891267231E-2"/>
                  <c:y val="-3.45423143350604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1334702258726897E-2"/>
                  <c:y val="-3.454231433505981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3.7563670134576246E-2"/>
                  <c:y val="2.41796200345423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304585900068446E-2"/>
                  <c:y val="1.03626943005180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2019'!$EH$148:$EH$154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'CONSOLIDADO NOV 2019'!$EJ$148:$EJ$154</c:f>
              <c:numCache>
                <c:formatCode>#,##0</c:formatCode>
                <c:ptCount val="7"/>
                <c:pt idx="0">
                  <c:v>1985521414</c:v>
                </c:pt>
                <c:pt idx="1">
                  <c:v>6203568987</c:v>
                </c:pt>
                <c:pt idx="2">
                  <c:v>2972179622</c:v>
                </c:pt>
                <c:pt idx="3">
                  <c:v>722693702</c:v>
                </c:pt>
                <c:pt idx="4">
                  <c:v>4419650242</c:v>
                </c:pt>
                <c:pt idx="5">
                  <c:v>2062208244</c:v>
                </c:pt>
                <c:pt idx="6">
                  <c:v>3100070271</c:v>
                </c:pt>
              </c:numCache>
            </c:numRef>
          </c:val>
        </c:ser>
        <c:ser>
          <c:idx val="2"/>
          <c:order val="2"/>
          <c:tx>
            <c:strRef>
              <c:f>'CONSOLIDADO NOV 2019'!$EK$147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11156741957563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822724161533227E-2"/>
                  <c:y val="1.0362694300518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422211333568831E-2"/>
                  <c:y val="6.90846286701208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2245037645448322E-2"/>
                  <c:y val="1.03626943005181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378507871321012E-2"/>
                  <c:y val="3.45423143350604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7378507871321012E-2"/>
                  <c:y val="3.454231433506044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251197809719357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NOV 2019'!$EH$148:$EH$154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'CONSOLIDADO NOV 2019'!$EK$148:$EK$154</c:f>
              <c:numCache>
                <c:formatCode>0.00%</c:formatCode>
                <c:ptCount val="7"/>
                <c:pt idx="0">
                  <c:v>0.1522</c:v>
                </c:pt>
                <c:pt idx="1">
                  <c:v>0.77400000000000002</c:v>
                </c:pt>
                <c:pt idx="2">
                  <c:v>0.80600000000000005</c:v>
                </c:pt>
                <c:pt idx="3">
                  <c:v>0.67159999999999997</c:v>
                </c:pt>
                <c:pt idx="4">
                  <c:v>0.48609999999999998</c:v>
                </c:pt>
                <c:pt idx="5">
                  <c:v>0.68989999999999996</c:v>
                </c:pt>
                <c:pt idx="6">
                  <c:v>0.68240000000000001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34979584"/>
        <c:axId val="134981504"/>
        <c:axId val="0"/>
      </c:bar3DChart>
      <c:catAx>
        <c:axId val="1349795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34981504"/>
        <c:crosses val="autoZero"/>
        <c:auto val="1"/>
        <c:lblAlgn val="ctr"/>
        <c:lblOffset val="100"/>
        <c:noMultiLvlLbl val="0"/>
      </c:catAx>
      <c:valAx>
        <c:axId val="13498150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349795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0787576732579885"/>
          <c:y val="0.13696027633851468"/>
          <c:w val="0.38424833061165098"/>
          <c:h val="4.864564209266587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</xdr:colOff>
      <xdr:row>156</xdr:row>
      <xdr:rowOff>118110</xdr:rowOff>
    </xdr:from>
    <xdr:to>
      <xdr:col>106</xdr:col>
      <xdr:colOff>320040</xdr:colOff>
      <xdr:row>174</xdr:row>
      <xdr:rowOff>167640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304800</xdr:colOff>
      <xdr:row>177</xdr:row>
      <xdr:rowOff>140970</xdr:rowOff>
    </xdr:from>
    <xdr:to>
      <xdr:col>106</xdr:col>
      <xdr:colOff>388620</xdr:colOff>
      <xdr:row>197</xdr:row>
      <xdr:rowOff>160020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OCTUBRE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E%20EJECUCI&#211;N%20PLAN%20DE%20ACCI&#211;N%20A%2031%20DE%20OCTUBRE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SEPTIEMBRE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NOVIEMBRE%20201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GOSTO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9"/>
    </sheetNames>
    <sheetDataSet>
      <sheetData sheetId="0">
        <row r="18">
          <cell r="S18">
            <v>174955181</v>
          </cell>
        </row>
        <row r="62">
          <cell r="H62">
            <v>31474170</v>
          </cell>
        </row>
        <row r="137">
          <cell r="AG137">
            <v>66700631</v>
          </cell>
        </row>
        <row r="187">
          <cell r="Q187">
            <v>622482913</v>
          </cell>
          <cell r="X187">
            <v>172130178</v>
          </cell>
        </row>
        <row r="379">
          <cell r="H379">
            <v>258340123</v>
          </cell>
        </row>
        <row r="484">
          <cell r="L484">
            <v>560000000</v>
          </cell>
        </row>
        <row r="491">
          <cell r="L491">
            <v>656000000</v>
          </cell>
        </row>
        <row r="610">
          <cell r="K610">
            <v>285345383</v>
          </cell>
        </row>
        <row r="1170">
          <cell r="H1170">
            <v>15000000</v>
          </cell>
        </row>
        <row r="1210">
          <cell r="G1210">
            <v>800000</v>
          </cell>
        </row>
        <row r="1263">
          <cell r="G1263">
            <v>1649000</v>
          </cell>
        </row>
        <row r="1272">
          <cell r="G1272">
            <v>700000</v>
          </cell>
        </row>
        <row r="1273">
          <cell r="G1273">
            <v>3000000</v>
          </cell>
        </row>
        <row r="1296">
          <cell r="G1296">
            <v>1000000</v>
          </cell>
        </row>
        <row r="1297">
          <cell r="G1297">
            <v>610455</v>
          </cell>
        </row>
        <row r="1329">
          <cell r="H1329">
            <v>1000000</v>
          </cell>
        </row>
        <row r="1332">
          <cell r="H1332">
            <v>30000000</v>
          </cell>
        </row>
        <row r="1335">
          <cell r="H1335">
            <v>4000000</v>
          </cell>
        </row>
        <row r="1340">
          <cell r="H1340">
            <v>4000000</v>
          </cell>
        </row>
        <row r="1343">
          <cell r="H1343">
            <v>2800000</v>
          </cell>
        </row>
        <row r="1348">
          <cell r="H1348">
            <v>998600</v>
          </cell>
        </row>
        <row r="1352">
          <cell r="H1352">
            <v>2712008</v>
          </cell>
        </row>
        <row r="1355">
          <cell r="H1355">
            <v>7333992</v>
          </cell>
        </row>
        <row r="1359">
          <cell r="H1359">
            <v>8000000</v>
          </cell>
        </row>
        <row r="1362">
          <cell r="H1362">
            <v>8000000</v>
          </cell>
        </row>
        <row r="1365">
          <cell r="H1365">
            <v>4897241</v>
          </cell>
        </row>
        <row r="1367">
          <cell r="I1367">
            <v>5465342</v>
          </cell>
          <cell r="Z1367">
            <v>30000000</v>
          </cell>
          <cell r="AA1367">
            <v>32712008</v>
          </cell>
        </row>
        <row r="1386">
          <cell r="H1386">
            <v>4399964</v>
          </cell>
        </row>
        <row r="1392">
          <cell r="H1392">
            <v>40000000</v>
          </cell>
        </row>
        <row r="1602">
          <cell r="H1602">
            <v>8000000</v>
          </cell>
        </row>
        <row r="1697">
          <cell r="Q1697">
            <v>628629526</v>
          </cell>
        </row>
        <row r="1846">
          <cell r="AB1846">
            <v>5266000</v>
          </cell>
        </row>
        <row r="1906">
          <cell r="Q1906">
            <v>49002673</v>
          </cell>
        </row>
        <row r="1916">
          <cell r="H1916">
            <v>1660212</v>
          </cell>
        </row>
        <row r="1917">
          <cell r="H1917">
            <v>862690</v>
          </cell>
        </row>
        <row r="1918">
          <cell r="H1918">
            <v>2500000</v>
          </cell>
        </row>
        <row r="1929">
          <cell r="H1929">
            <v>2608000</v>
          </cell>
        </row>
        <row r="1930">
          <cell r="H1930">
            <v>449515</v>
          </cell>
        </row>
        <row r="1935">
          <cell r="H1935">
            <v>2500000</v>
          </cell>
        </row>
        <row r="1941">
          <cell r="H1941">
            <v>1430000</v>
          </cell>
        </row>
        <row r="1943">
          <cell r="H1943">
            <v>3000000</v>
          </cell>
        </row>
        <row r="1944">
          <cell r="H1944">
            <v>1010000</v>
          </cell>
        </row>
        <row r="1947">
          <cell r="H1947">
            <v>3000000</v>
          </cell>
        </row>
        <row r="1949">
          <cell r="H1949">
            <v>1156000</v>
          </cell>
        </row>
        <row r="1950">
          <cell r="H1950">
            <v>6000000</v>
          </cell>
        </row>
        <row r="1951">
          <cell r="H1951">
            <v>2500000</v>
          </cell>
        </row>
        <row r="1952">
          <cell r="H1952">
            <v>3000000</v>
          </cell>
        </row>
        <row r="1955">
          <cell r="H1955">
            <v>3107877</v>
          </cell>
        </row>
        <row r="1956">
          <cell r="H1956">
            <v>2500000</v>
          </cell>
        </row>
        <row r="1961">
          <cell r="H1961">
            <v>2500000</v>
          </cell>
        </row>
        <row r="1962">
          <cell r="H1962">
            <v>2500000</v>
          </cell>
        </row>
        <row r="1963">
          <cell r="H1963">
            <v>1000000</v>
          </cell>
        </row>
        <row r="1964">
          <cell r="H1964">
            <v>2179060</v>
          </cell>
        </row>
        <row r="1965">
          <cell r="H1965">
            <v>1000000</v>
          </cell>
        </row>
        <row r="1966">
          <cell r="H1966">
            <v>1167573</v>
          </cell>
        </row>
        <row r="1967">
          <cell r="H1967">
            <v>1371746</v>
          </cell>
        </row>
        <row r="2119">
          <cell r="AG2119">
            <v>53799225</v>
          </cell>
        </row>
        <row r="2165">
          <cell r="H2165">
            <v>2666595</v>
          </cell>
        </row>
        <row r="2167">
          <cell r="AB2167">
            <v>2666595</v>
          </cell>
        </row>
        <row r="2190">
          <cell r="Q2190">
            <v>7055740</v>
          </cell>
        </row>
        <row r="2256">
          <cell r="T2256">
            <v>5005939</v>
          </cell>
        </row>
        <row r="2357">
          <cell r="H2357">
            <v>46772947</v>
          </cell>
        </row>
        <row r="2680">
          <cell r="H2680">
            <v>5479000</v>
          </cell>
        </row>
        <row r="2682">
          <cell r="Q2682">
            <v>7781000</v>
          </cell>
        </row>
        <row r="3085">
          <cell r="AG3085">
            <v>67722598</v>
          </cell>
        </row>
        <row r="3178">
          <cell r="H3178">
            <v>135142337</v>
          </cell>
        </row>
        <row r="3195">
          <cell r="I3195">
            <v>0</v>
          </cell>
        </row>
        <row r="3196">
          <cell r="H3196">
            <v>420000</v>
          </cell>
        </row>
        <row r="3202">
          <cell r="H3202">
            <v>34982827</v>
          </cell>
        </row>
        <row r="3237">
          <cell r="H3237">
            <v>10421000</v>
          </cell>
        </row>
        <row r="3304">
          <cell r="Z3304">
            <v>34949989</v>
          </cell>
        </row>
        <row r="3305">
          <cell r="H3305">
            <v>24109989</v>
          </cell>
        </row>
        <row r="3315">
          <cell r="H3315">
            <v>5000000</v>
          </cell>
        </row>
        <row r="3317">
          <cell r="H3317">
            <v>599869</v>
          </cell>
        </row>
        <row r="3318">
          <cell r="H3318">
            <v>599869</v>
          </cell>
        </row>
        <row r="3319">
          <cell r="H3319">
            <v>599869</v>
          </cell>
        </row>
        <row r="3320">
          <cell r="H3320">
            <v>599869</v>
          </cell>
        </row>
        <row r="3321">
          <cell r="H3321">
            <v>1783000</v>
          </cell>
        </row>
        <row r="3322">
          <cell r="H3322">
            <v>449246</v>
          </cell>
        </row>
        <row r="3323">
          <cell r="H3323">
            <v>532058</v>
          </cell>
        </row>
        <row r="3324">
          <cell r="H3324">
            <v>17792000</v>
          </cell>
        </row>
        <row r="3326">
          <cell r="H3326">
            <v>227623</v>
          </cell>
        </row>
        <row r="3327">
          <cell r="H3327">
            <v>227623</v>
          </cell>
        </row>
        <row r="3328">
          <cell r="H3328">
            <v>390000</v>
          </cell>
        </row>
        <row r="3329">
          <cell r="H3329">
            <v>1546921</v>
          </cell>
        </row>
        <row r="3331">
          <cell r="H3331">
            <v>449246</v>
          </cell>
        </row>
        <row r="3332">
          <cell r="H3332">
            <v>449246</v>
          </cell>
        </row>
        <row r="3333">
          <cell r="H3333">
            <v>5000000</v>
          </cell>
        </row>
        <row r="3336">
          <cell r="H3336">
            <v>227623</v>
          </cell>
        </row>
        <row r="3337">
          <cell r="H3337">
            <v>227623</v>
          </cell>
        </row>
        <row r="3338">
          <cell r="H3338">
            <v>6252396</v>
          </cell>
        </row>
        <row r="3347">
          <cell r="H3347">
            <v>20000000</v>
          </cell>
        </row>
        <row r="3361">
          <cell r="H3361">
            <v>25000000</v>
          </cell>
        </row>
        <row r="3391">
          <cell r="Z3391">
            <v>20133333</v>
          </cell>
        </row>
        <row r="3398">
          <cell r="Z3398">
            <v>4991333</v>
          </cell>
        </row>
        <row r="3409">
          <cell r="S3409">
            <v>14999964</v>
          </cell>
        </row>
        <row r="3417">
          <cell r="H3417">
            <v>7200000</v>
          </cell>
        </row>
        <row r="3424">
          <cell r="H3424">
            <v>14999964</v>
          </cell>
        </row>
        <row r="3432">
          <cell r="H3432">
            <v>467044183</v>
          </cell>
        </row>
        <row r="3530">
          <cell r="N3530">
            <v>20000000</v>
          </cell>
        </row>
        <row r="3565">
          <cell r="H3565">
            <v>9450000</v>
          </cell>
        </row>
        <row r="3596">
          <cell r="H3596">
            <v>11300000</v>
          </cell>
        </row>
        <row r="3677">
          <cell r="K3677">
            <v>171913332</v>
          </cell>
        </row>
        <row r="3779">
          <cell r="K3779">
            <v>118086668</v>
          </cell>
          <cell r="AG3779">
            <v>3435340</v>
          </cell>
        </row>
        <row r="3791">
          <cell r="H3791">
            <v>303623</v>
          </cell>
        </row>
        <row r="3818">
          <cell r="H3818">
            <v>935340</v>
          </cell>
        </row>
        <row r="3845">
          <cell r="G3845">
            <v>4000000</v>
          </cell>
        </row>
        <row r="3905">
          <cell r="H3905">
            <v>3825430</v>
          </cell>
        </row>
        <row r="3914">
          <cell r="K3914">
            <v>31920200</v>
          </cell>
        </row>
        <row r="4018">
          <cell r="K4018">
            <v>120000000</v>
          </cell>
        </row>
        <row r="4037">
          <cell r="H4037">
            <v>291335</v>
          </cell>
        </row>
        <row r="4042">
          <cell r="K4042">
            <v>118270473</v>
          </cell>
          <cell r="AA4042">
            <v>10000000</v>
          </cell>
        </row>
        <row r="4043">
          <cell r="H4043">
            <v>118197139</v>
          </cell>
        </row>
        <row r="4060">
          <cell r="H4060">
            <v>73333</v>
          </cell>
        </row>
        <row r="4063">
          <cell r="H4063">
            <v>8333806</v>
          </cell>
        </row>
        <row r="4071">
          <cell r="H4071">
            <v>149212900</v>
          </cell>
        </row>
        <row r="4084">
          <cell r="H4084">
            <v>798526</v>
          </cell>
        </row>
        <row r="4090">
          <cell r="AA4090">
            <v>7000000</v>
          </cell>
        </row>
        <row r="4307">
          <cell r="AG4307">
            <v>24432833</v>
          </cell>
        </row>
        <row r="4350">
          <cell r="H4350">
            <v>99890200</v>
          </cell>
        </row>
        <row r="4402">
          <cell r="H4402">
            <v>39090200</v>
          </cell>
        </row>
        <row r="4421">
          <cell r="H4421">
            <v>800000</v>
          </cell>
        </row>
        <row r="4797">
          <cell r="H4797">
            <v>5150000</v>
          </cell>
        </row>
        <row r="4799">
          <cell r="Z4799">
            <v>5150000</v>
          </cell>
        </row>
        <row r="4808">
          <cell r="H4808">
            <v>3180000</v>
          </cell>
        </row>
        <row r="4810">
          <cell r="Z4810">
            <v>3180000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303">
          <cell r="J303">
            <v>328965376</v>
          </cell>
        </row>
        <row r="344">
          <cell r="AB344">
            <v>40000000</v>
          </cell>
        </row>
        <row r="443">
          <cell r="Y443">
            <v>90000000</v>
          </cell>
        </row>
        <row r="943">
          <cell r="K943">
            <v>75000000</v>
          </cell>
        </row>
        <row r="1160">
          <cell r="H1160">
            <v>10051963</v>
          </cell>
        </row>
        <row r="1162">
          <cell r="Y1162">
            <v>10066667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Q18">
            <v>34069700</v>
          </cell>
        </row>
        <row r="73">
          <cell r="X73">
            <v>50000000</v>
          </cell>
        </row>
        <row r="163">
          <cell r="H163">
            <v>300000000</v>
          </cell>
        </row>
        <row r="1191">
          <cell r="AF1191">
            <v>570042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27">
          <cell r="H27">
            <v>32998700</v>
          </cell>
        </row>
        <row r="35">
          <cell r="H35">
            <v>450371528</v>
          </cell>
        </row>
        <row r="39">
          <cell r="H39">
            <v>32159883</v>
          </cell>
        </row>
        <row r="45">
          <cell r="AE45">
            <v>34000000</v>
          </cell>
        </row>
        <row r="58">
          <cell r="H58">
            <v>54907320</v>
          </cell>
        </row>
        <row r="572">
          <cell r="AF572">
            <v>16000000</v>
          </cell>
        </row>
        <row r="683">
          <cell r="H683">
            <v>33780592</v>
          </cell>
        </row>
        <row r="685">
          <cell r="K685">
            <v>35000000</v>
          </cell>
        </row>
        <row r="717">
          <cell r="J717">
            <v>14000000</v>
          </cell>
        </row>
        <row r="746">
          <cell r="J746">
            <v>15000000</v>
          </cell>
        </row>
        <row r="855">
          <cell r="Z855">
            <v>32712008</v>
          </cell>
        </row>
        <row r="1030">
          <cell r="J1030">
            <v>15000000</v>
          </cell>
        </row>
        <row r="1051">
          <cell r="J1051">
            <v>8000000</v>
          </cell>
        </row>
        <row r="1072">
          <cell r="J1072">
            <v>13000000</v>
          </cell>
        </row>
        <row r="1214">
          <cell r="AF1214">
            <v>28000000</v>
          </cell>
        </row>
        <row r="1244">
          <cell r="P1244">
            <v>8000000</v>
          </cell>
        </row>
        <row r="1256">
          <cell r="H1256">
            <v>7943538</v>
          </cell>
        </row>
        <row r="1543">
          <cell r="H1543">
            <v>1770516</v>
          </cell>
        </row>
        <row r="1545">
          <cell r="H1545">
            <v>67311976</v>
          </cell>
        </row>
        <row r="1557">
          <cell r="H1557">
            <v>31999995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OCTUBRE 2019"/>
      <sheetName val="P. ACCIÓN CONSOLIDADO "/>
    </sheetNames>
    <sheetDataSet>
      <sheetData sheetId="0"/>
      <sheetData sheetId="1">
        <row r="40">
          <cell r="CD40">
            <v>2547014712</v>
          </cell>
        </row>
        <row r="81">
          <cell r="CD81">
            <v>3855588245</v>
          </cell>
        </row>
        <row r="105">
          <cell r="CD105">
            <v>2828031894</v>
          </cell>
        </row>
        <row r="122">
          <cell r="CD122">
            <v>2879361152</v>
          </cell>
        </row>
        <row r="143">
          <cell r="CD143">
            <v>5991509682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9"/>
    </sheetNames>
    <sheetDataSet>
      <sheetData sheetId="0">
        <row r="41">
          <cell r="H41">
            <v>16279200</v>
          </cell>
        </row>
        <row r="158">
          <cell r="AA158">
            <v>744901055</v>
          </cell>
        </row>
        <row r="170">
          <cell r="H170">
            <v>283993566</v>
          </cell>
        </row>
        <row r="174">
          <cell r="H174">
            <v>398764240</v>
          </cell>
        </row>
        <row r="187">
          <cell r="H187">
            <v>150510837</v>
          </cell>
        </row>
        <row r="210">
          <cell r="H210">
            <v>334153897</v>
          </cell>
        </row>
        <row r="228">
          <cell r="H228">
            <v>62143249</v>
          </cell>
        </row>
        <row r="231">
          <cell r="H231">
            <v>137818179</v>
          </cell>
        </row>
        <row r="355">
          <cell r="H355">
            <v>1592473</v>
          </cell>
        </row>
        <row r="361">
          <cell r="H361">
            <v>62583333</v>
          </cell>
        </row>
        <row r="366">
          <cell r="H366">
            <v>10650000</v>
          </cell>
        </row>
        <row r="370">
          <cell r="Z370">
            <v>31956792</v>
          </cell>
        </row>
        <row r="443">
          <cell r="Y443">
            <v>30000000</v>
          </cell>
          <cell r="AG443">
            <v>232244043</v>
          </cell>
        </row>
        <row r="976">
          <cell r="AC976">
            <v>16000000</v>
          </cell>
        </row>
        <row r="1022">
          <cell r="H1022">
            <v>59970000</v>
          </cell>
        </row>
        <row r="1047">
          <cell r="H1047">
            <v>14970000</v>
          </cell>
        </row>
        <row r="1134">
          <cell r="H1134">
            <v>11773334</v>
          </cell>
        </row>
        <row r="1142">
          <cell r="H1142">
            <v>27140002</v>
          </cell>
        </row>
        <row r="1157">
          <cell r="H1157">
            <v>3364512</v>
          </cell>
        </row>
        <row r="1158">
          <cell r="H1158">
            <v>7527626</v>
          </cell>
        </row>
        <row r="1171">
          <cell r="AB1171">
            <v>40000000</v>
          </cell>
          <cell r="AG1171">
            <v>12897241</v>
          </cell>
        </row>
        <row r="1172">
          <cell r="H1172">
            <v>147876671</v>
          </cell>
        </row>
        <row r="1233">
          <cell r="O1233">
            <v>58000000</v>
          </cell>
        </row>
        <row r="1407">
          <cell r="L1407">
            <v>681816144</v>
          </cell>
        </row>
        <row r="1418">
          <cell r="H1418">
            <v>19600000</v>
          </cell>
        </row>
        <row r="1429">
          <cell r="H1429">
            <v>8126265</v>
          </cell>
        </row>
        <row r="1432">
          <cell r="H1432">
            <v>18316378</v>
          </cell>
        </row>
        <row r="1442">
          <cell r="H1442">
            <v>1957357</v>
          </cell>
        </row>
        <row r="1482">
          <cell r="Q1482">
            <v>376835867</v>
          </cell>
        </row>
        <row r="1524">
          <cell r="AG1524">
            <v>16000000</v>
          </cell>
        </row>
        <row r="1681">
          <cell r="H1681">
            <v>27809393</v>
          </cell>
        </row>
        <row r="1683">
          <cell r="AB1683">
            <v>19870052</v>
          </cell>
        </row>
        <row r="2011">
          <cell r="W2011">
            <v>7911500</v>
          </cell>
        </row>
        <row r="2093">
          <cell r="Q2093">
            <v>62184648</v>
          </cell>
        </row>
        <row r="2445">
          <cell r="H2445">
            <v>266500</v>
          </cell>
        </row>
        <row r="2447">
          <cell r="AB2447">
            <v>266500</v>
          </cell>
        </row>
        <row r="2922">
          <cell r="AG2922">
            <v>32582288</v>
          </cell>
        </row>
        <row r="2967">
          <cell r="Z2967">
            <v>20000000</v>
          </cell>
        </row>
        <row r="2981">
          <cell r="Z2981">
            <v>25000000</v>
          </cell>
        </row>
        <row r="2996">
          <cell r="Z2996">
            <v>6000000</v>
          </cell>
        </row>
        <row r="3589">
          <cell r="H3589">
            <v>129681998</v>
          </cell>
        </row>
        <row r="3609">
          <cell r="H3609">
            <v>9973333</v>
          </cell>
        </row>
        <row r="4178">
          <cell r="AB4178">
            <v>50000000</v>
          </cell>
        </row>
        <row r="4624">
          <cell r="H4624">
            <v>18376514</v>
          </cell>
        </row>
        <row r="4627">
          <cell r="H4627">
            <v>6623484</v>
          </cell>
        </row>
        <row r="4630">
          <cell r="H4630">
            <v>14993066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9"/>
    </sheetNames>
    <sheetDataSet>
      <sheetData sheetId="0">
        <row r="9">
          <cell r="K9">
            <v>2969410598</v>
          </cell>
        </row>
        <row r="18">
          <cell r="Q18">
            <v>167117817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9">
          <cell r="H29">
            <v>104969900</v>
          </cell>
        </row>
        <row r="31">
          <cell r="H31">
            <v>36180836</v>
          </cell>
        </row>
        <row r="41">
          <cell r="H41">
            <v>16279200</v>
          </cell>
        </row>
        <row r="43">
          <cell r="H43">
            <v>69806600</v>
          </cell>
        </row>
        <row r="46">
          <cell r="H46">
            <v>479327</v>
          </cell>
        </row>
        <row r="47">
          <cell r="H47">
            <v>0</v>
          </cell>
        </row>
        <row r="53">
          <cell r="Q53">
            <v>289365728</v>
          </cell>
          <cell r="R53">
            <v>110023855</v>
          </cell>
          <cell r="S53">
            <v>31474170</v>
          </cell>
          <cell r="Y53">
            <v>19955896</v>
          </cell>
          <cell r="AA53">
            <v>536437565</v>
          </cell>
          <cell r="AG53">
            <v>101182491</v>
          </cell>
        </row>
        <row r="54">
          <cell r="H54">
            <v>1299984</v>
          </cell>
        </row>
        <row r="60">
          <cell r="H60">
            <v>37000000</v>
          </cell>
        </row>
        <row r="64">
          <cell r="H64">
            <v>63590670</v>
          </cell>
        </row>
        <row r="70">
          <cell r="H70">
            <v>6992716</v>
          </cell>
        </row>
        <row r="73">
          <cell r="H73">
            <v>8500000</v>
          </cell>
        </row>
        <row r="75">
          <cell r="H75">
            <v>33986799</v>
          </cell>
        </row>
        <row r="77">
          <cell r="H77">
            <v>94006019</v>
          </cell>
        </row>
        <row r="79">
          <cell r="H79">
            <v>58558792</v>
          </cell>
        </row>
        <row r="86">
          <cell r="H86">
            <v>3500000</v>
          </cell>
        </row>
        <row r="89">
          <cell r="H89">
            <v>26920544</v>
          </cell>
        </row>
        <row r="94">
          <cell r="H94">
            <v>101182014</v>
          </cell>
        </row>
        <row r="99">
          <cell r="H99">
            <v>274508474</v>
          </cell>
        </row>
        <row r="102">
          <cell r="H102">
            <v>3522300</v>
          </cell>
        </row>
        <row r="106">
          <cell r="H106">
            <v>20964337</v>
          </cell>
        </row>
        <row r="109">
          <cell r="H109">
            <v>11900000</v>
          </cell>
        </row>
        <row r="112">
          <cell r="H112">
            <v>10000000</v>
          </cell>
        </row>
        <row r="116">
          <cell r="H116">
            <v>2344042</v>
          </cell>
        </row>
        <row r="119">
          <cell r="H119">
            <v>29993703</v>
          </cell>
        </row>
        <row r="123">
          <cell r="H123">
            <v>65367552</v>
          </cell>
        </row>
        <row r="125">
          <cell r="H125">
            <v>94362806</v>
          </cell>
        </row>
        <row r="128">
          <cell r="H128">
            <v>11012641</v>
          </cell>
        </row>
        <row r="131">
          <cell r="H131">
            <v>714000</v>
          </cell>
        </row>
        <row r="134">
          <cell r="H134">
            <v>36637845</v>
          </cell>
        </row>
        <row r="137">
          <cell r="H137">
            <v>2119934</v>
          </cell>
        </row>
        <row r="153">
          <cell r="Q153">
            <v>593798487</v>
          </cell>
          <cell r="S153">
            <v>100000000</v>
          </cell>
        </row>
        <row r="154">
          <cell r="H154">
            <v>10000000</v>
          </cell>
        </row>
        <row r="159">
          <cell r="H159">
            <v>24900631</v>
          </cell>
        </row>
        <row r="162">
          <cell r="H162">
            <v>100626399</v>
          </cell>
        </row>
        <row r="164">
          <cell r="H164">
            <v>40817000</v>
          </cell>
        </row>
        <row r="167">
          <cell r="H167">
            <v>95799588</v>
          </cell>
        </row>
        <row r="172">
          <cell r="H172">
            <v>8976571</v>
          </cell>
        </row>
        <row r="179">
          <cell r="H179">
            <v>23302126</v>
          </cell>
        </row>
        <row r="182">
          <cell r="H182">
            <v>8028013</v>
          </cell>
        </row>
        <row r="185">
          <cell r="H185">
            <v>4478327</v>
          </cell>
        </row>
        <row r="188">
          <cell r="H188">
            <v>41387010</v>
          </cell>
        </row>
        <row r="191">
          <cell r="H191">
            <v>792575</v>
          </cell>
        </row>
        <row r="195">
          <cell r="H195">
            <v>21991200</v>
          </cell>
        </row>
        <row r="198">
          <cell r="H198">
            <v>11465164</v>
          </cell>
        </row>
        <row r="212">
          <cell r="R212">
            <v>387193274</v>
          </cell>
          <cell r="S212">
            <v>434633793</v>
          </cell>
          <cell r="T212">
            <v>75512729</v>
          </cell>
          <cell r="AG212">
            <v>468772609</v>
          </cell>
        </row>
        <row r="213">
          <cell r="H213">
            <v>18000000</v>
          </cell>
        </row>
        <row r="217">
          <cell r="H217">
            <v>29923820</v>
          </cell>
        </row>
        <row r="220">
          <cell r="H220">
            <v>75577422</v>
          </cell>
        </row>
        <row r="222">
          <cell r="H222">
            <v>53746014</v>
          </cell>
        </row>
        <row r="224">
          <cell r="H224">
            <v>38135657</v>
          </cell>
        </row>
        <row r="232">
          <cell r="H232">
            <v>15198256</v>
          </cell>
        </row>
        <row r="236">
          <cell r="H236">
            <v>29024945</v>
          </cell>
        </row>
        <row r="242">
          <cell r="H242">
            <v>11203714</v>
          </cell>
        </row>
        <row r="251">
          <cell r="H251">
            <v>6609617</v>
          </cell>
        </row>
        <row r="255">
          <cell r="H255">
            <v>3000000</v>
          </cell>
        </row>
        <row r="257">
          <cell r="H257">
            <v>20000000</v>
          </cell>
        </row>
        <row r="261">
          <cell r="H261">
            <v>57990000</v>
          </cell>
        </row>
        <row r="264">
          <cell r="H264">
            <v>2010000</v>
          </cell>
        </row>
        <row r="267">
          <cell r="H267">
            <v>92000000</v>
          </cell>
        </row>
        <row r="274">
          <cell r="H274">
            <v>31734014</v>
          </cell>
        </row>
        <row r="277">
          <cell r="H277">
            <v>66000000</v>
          </cell>
        </row>
        <row r="280">
          <cell r="H280">
            <v>53407200</v>
          </cell>
        </row>
        <row r="283">
          <cell r="H283">
            <v>17306170</v>
          </cell>
        </row>
        <row r="286">
          <cell r="H286">
            <v>14040060</v>
          </cell>
        </row>
        <row r="294">
          <cell r="H294">
            <v>160511675</v>
          </cell>
        </row>
        <row r="300">
          <cell r="H300">
            <v>280000000</v>
          </cell>
        </row>
        <row r="303">
          <cell r="H303">
            <v>152130178</v>
          </cell>
        </row>
        <row r="306">
          <cell r="H306">
            <v>7869822</v>
          </cell>
        </row>
        <row r="309">
          <cell r="H309">
            <v>200000000</v>
          </cell>
        </row>
        <row r="312">
          <cell r="H312">
            <v>46800201</v>
          </cell>
        </row>
        <row r="315">
          <cell r="H315">
            <v>14950000</v>
          </cell>
        </row>
        <row r="318">
          <cell r="H318">
            <v>26507250</v>
          </cell>
        </row>
        <row r="321">
          <cell r="H321">
            <v>68655</v>
          </cell>
        </row>
        <row r="324">
          <cell r="H324">
            <v>50000000</v>
          </cell>
        </row>
        <row r="336">
          <cell r="Z336">
            <v>234395156</v>
          </cell>
          <cell r="AG336">
            <v>27907830</v>
          </cell>
        </row>
        <row r="338">
          <cell r="H338">
            <v>2975000</v>
          </cell>
        </row>
        <row r="340">
          <cell r="H340">
            <v>29090100</v>
          </cell>
        </row>
        <row r="343">
          <cell r="H343">
            <v>14910700</v>
          </cell>
        </row>
        <row r="346">
          <cell r="H346">
            <v>11842675</v>
          </cell>
        </row>
        <row r="349">
          <cell r="H349">
            <v>47016900</v>
          </cell>
        </row>
        <row r="352">
          <cell r="H352">
            <v>31082800</v>
          </cell>
        </row>
        <row r="355">
          <cell r="H355">
            <v>987700</v>
          </cell>
        </row>
        <row r="359">
          <cell r="H359">
            <v>32372760</v>
          </cell>
        </row>
        <row r="361">
          <cell r="H361">
            <v>3570000</v>
          </cell>
        </row>
        <row r="364">
          <cell r="H364">
            <v>16660000</v>
          </cell>
        </row>
        <row r="368">
          <cell r="H368">
            <v>7571158</v>
          </cell>
        </row>
        <row r="370">
          <cell r="H370">
            <v>3845000</v>
          </cell>
        </row>
        <row r="373">
          <cell r="H373">
            <v>17546573</v>
          </cell>
        </row>
        <row r="376">
          <cell r="H376">
            <v>1100000</v>
          </cell>
        </row>
        <row r="381">
          <cell r="H381">
            <v>6276000</v>
          </cell>
        </row>
        <row r="384">
          <cell r="H384">
            <v>3850000</v>
          </cell>
        </row>
        <row r="387">
          <cell r="H387">
            <v>14448830</v>
          </cell>
        </row>
        <row r="391">
          <cell r="H391">
            <v>13821850</v>
          </cell>
        </row>
        <row r="401">
          <cell r="W401">
            <v>28845816</v>
          </cell>
        </row>
        <row r="404">
          <cell r="H404">
            <v>30541350</v>
          </cell>
        </row>
        <row r="406">
          <cell r="H406">
            <v>1287342</v>
          </cell>
        </row>
        <row r="408">
          <cell r="H408">
            <v>471240</v>
          </cell>
        </row>
        <row r="411">
          <cell r="H411">
            <v>113102907</v>
          </cell>
        </row>
        <row r="416">
          <cell r="H416">
            <v>33200500</v>
          </cell>
        </row>
        <row r="419">
          <cell r="H419">
            <v>73066000</v>
          </cell>
        </row>
        <row r="422">
          <cell r="H422">
            <v>23427958</v>
          </cell>
        </row>
        <row r="428">
          <cell r="Z428">
            <v>106782598</v>
          </cell>
          <cell r="AA428">
            <v>58374008</v>
          </cell>
          <cell r="AB428">
            <v>210177249</v>
          </cell>
        </row>
        <row r="499">
          <cell r="H499">
            <v>106710000</v>
          </cell>
        </row>
        <row r="523">
          <cell r="H523">
            <v>101998333</v>
          </cell>
        </row>
        <row r="555">
          <cell r="H555">
            <v>527137849</v>
          </cell>
        </row>
        <row r="559">
          <cell r="H559">
            <v>337814787</v>
          </cell>
        </row>
        <row r="572">
          <cell r="P572">
            <v>244096406</v>
          </cell>
          <cell r="R572">
            <v>50000000</v>
          </cell>
          <cell r="T572">
            <v>40000000</v>
          </cell>
        </row>
        <row r="573">
          <cell r="H573">
            <v>7000000</v>
          </cell>
        </row>
        <row r="578">
          <cell r="H578">
            <v>226918964</v>
          </cell>
        </row>
        <row r="582">
          <cell r="H582">
            <v>1170000</v>
          </cell>
        </row>
        <row r="585">
          <cell r="H585">
            <v>3070283</v>
          </cell>
        </row>
        <row r="591">
          <cell r="H591">
            <v>362000</v>
          </cell>
        </row>
        <row r="594">
          <cell r="H594">
            <v>12477000</v>
          </cell>
        </row>
        <row r="597">
          <cell r="H597">
            <v>8000000</v>
          </cell>
        </row>
        <row r="602">
          <cell r="H602">
            <v>1249000</v>
          </cell>
        </row>
        <row r="604">
          <cell r="H604">
            <v>21025000</v>
          </cell>
        </row>
        <row r="607">
          <cell r="H607">
            <v>9520000</v>
          </cell>
        </row>
        <row r="610">
          <cell r="H610">
            <v>25505690</v>
          </cell>
        </row>
        <row r="619">
          <cell r="H619">
            <v>64037065</v>
          </cell>
        </row>
        <row r="625">
          <cell r="H625">
            <v>49711435</v>
          </cell>
        </row>
        <row r="628">
          <cell r="H628">
            <v>34985987</v>
          </cell>
        </row>
        <row r="649">
          <cell r="H649">
            <v>61713333</v>
          </cell>
        </row>
        <row r="692">
          <cell r="H692">
            <v>132009543</v>
          </cell>
        </row>
        <row r="694">
          <cell r="L694">
            <v>150000000</v>
          </cell>
        </row>
        <row r="699">
          <cell r="H699">
            <v>317198923</v>
          </cell>
        </row>
        <row r="701">
          <cell r="AA701">
            <v>20000000</v>
          </cell>
          <cell r="AG701">
            <v>54967935</v>
          </cell>
        </row>
        <row r="703">
          <cell r="H703">
            <v>8000000</v>
          </cell>
        </row>
        <row r="705">
          <cell r="H705">
            <v>1600000</v>
          </cell>
        </row>
        <row r="712">
          <cell r="H712">
            <v>1000000</v>
          </cell>
        </row>
        <row r="715">
          <cell r="H715">
            <v>1000000</v>
          </cell>
        </row>
        <row r="971">
          <cell r="H971">
            <v>2400000</v>
          </cell>
        </row>
        <row r="973">
          <cell r="H973">
            <v>577325</v>
          </cell>
        </row>
        <row r="974">
          <cell r="H974">
            <v>577325</v>
          </cell>
        </row>
        <row r="976">
          <cell r="H976">
            <v>1000000</v>
          </cell>
        </row>
        <row r="977">
          <cell r="H977">
            <v>8000000</v>
          </cell>
        </row>
        <row r="980">
          <cell r="H980">
            <v>2000000</v>
          </cell>
        </row>
        <row r="983">
          <cell r="H983">
            <v>869420</v>
          </cell>
        </row>
        <row r="984">
          <cell r="H984">
            <v>2461581</v>
          </cell>
        </row>
        <row r="985">
          <cell r="H985">
            <v>1383769</v>
          </cell>
        </row>
        <row r="986">
          <cell r="H986">
            <v>514218</v>
          </cell>
        </row>
        <row r="987">
          <cell r="H987">
            <v>1000000</v>
          </cell>
        </row>
        <row r="988">
          <cell r="H988">
            <v>834000</v>
          </cell>
        </row>
        <row r="989">
          <cell r="H989">
            <v>750297</v>
          </cell>
        </row>
        <row r="990">
          <cell r="H990">
            <v>1000000</v>
          </cell>
        </row>
        <row r="991">
          <cell r="H991">
            <v>3500000</v>
          </cell>
        </row>
        <row r="996">
          <cell r="G996">
            <v>150000000</v>
          </cell>
        </row>
        <row r="1051">
          <cell r="H1051">
            <v>11639785</v>
          </cell>
        </row>
        <row r="1067">
          <cell r="H1067">
            <v>125706526</v>
          </cell>
        </row>
        <row r="1070">
          <cell r="H1070">
            <v>52380000</v>
          </cell>
        </row>
        <row r="1118">
          <cell r="H1118">
            <v>37490004</v>
          </cell>
        </row>
        <row r="1152">
          <cell r="H1152">
            <v>25000000</v>
          </cell>
        </row>
        <row r="1217">
          <cell r="H1217">
            <v>16000000</v>
          </cell>
        </row>
        <row r="1239">
          <cell r="J1239">
            <v>14000000</v>
          </cell>
          <cell r="AC1239">
            <v>50000000</v>
          </cell>
        </row>
        <row r="1322">
          <cell r="J1322">
            <v>49805474</v>
          </cell>
          <cell r="K1322">
            <v>179513390</v>
          </cell>
          <cell r="AB1322">
            <v>70941940</v>
          </cell>
          <cell r="AC1322">
            <v>167968043</v>
          </cell>
        </row>
        <row r="1323">
          <cell r="H1323">
            <v>114760000</v>
          </cell>
        </row>
        <row r="1341">
          <cell r="H1341">
            <v>3025000</v>
          </cell>
        </row>
        <row r="1343">
          <cell r="H1343">
            <v>2600000</v>
          </cell>
        </row>
        <row r="1346">
          <cell r="H1346">
            <v>1230000</v>
          </cell>
        </row>
        <row r="1348">
          <cell r="H1348">
            <v>3637500</v>
          </cell>
        </row>
        <row r="1349">
          <cell r="H1349">
            <v>1656232</v>
          </cell>
        </row>
        <row r="1351">
          <cell r="H1351">
            <v>55126845</v>
          </cell>
        </row>
        <row r="1354">
          <cell r="H1354">
            <v>10000000</v>
          </cell>
        </row>
        <row r="1358">
          <cell r="H1358">
            <v>7999667</v>
          </cell>
        </row>
        <row r="1362">
          <cell r="H1362">
            <v>27306669</v>
          </cell>
        </row>
        <row r="1373">
          <cell r="H1373">
            <v>39489326</v>
          </cell>
        </row>
        <row r="1379">
          <cell r="H1379">
            <v>55072158</v>
          </cell>
        </row>
        <row r="1387">
          <cell r="H1387">
            <v>1823000</v>
          </cell>
        </row>
        <row r="1393">
          <cell r="H1393">
            <v>1649000</v>
          </cell>
        </row>
        <row r="1401">
          <cell r="H1401">
            <v>3295674</v>
          </cell>
        </row>
        <row r="1403">
          <cell r="H1403">
            <v>870000</v>
          </cell>
        </row>
        <row r="1416">
          <cell r="H1416">
            <v>14749862</v>
          </cell>
        </row>
        <row r="1423">
          <cell r="H1423">
            <v>10941940</v>
          </cell>
        </row>
        <row r="1428">
          <cell r="H1428">
            <v>1000000</v>
          </cell>
        </row>
        <row r="1431">
          <cell r="H1431">
            <v>610437</v>
          </cell>
        </row>
        <row r="1439">
          <cell r="O1439">
            <v>200411327</v>
          </cell>
          <cell r="Z1439">
            <v>98046000</v>
          </cell>
        </row>
        <row r="1533">
          <cell r="AG1533">
            <v>125965604</v>
          </cell>
        </row>
        <row r="1534">
          <cell r="H1534">
            <v>39994000</v>
          </cell>
        </row>
        <row r="1542">
          <cell r="H1542">
            <v>2500000</v>
          </cell>
        </row>
        <row r="1546">
          <cell r="H1546">
            <v>7500000</v>
          </cell>
        </row>
        <row r="1549">
          <cell r="H1549">
            <v>39997500</v>
          </cell>
        </row>
        <row r="1551">
          <cell r="H1551">
            <v>14460500</v>
          </cell>
        </row>
        <row r="1553">
          <cell r="H1553">
            <v>7702000</v>
          </cell>
        </row>
        <row r="1556">
          <cell r="H1556">
            <v>2298000</v>
          </cell>
        </row>
        <row r="1558">
          <cell r="H1558">
            <v>654500</v>
          </cell>
        </row>
        <row r="1561">
          <cell r="H1561">
            <v>6000</v>
          </cell>
        </row>
        <row r="1564">
          <cell r="H1564">
            <v>2282000</v>
          </cell>
        </row>
        <row r="1567">
          <cell r="H1567">
            <v>1941000</v>
          </cell>
        </row>
        <row r="1570">
          <cell r="H1570">
            <v>1345572</v>
          </cell>
        </row>
        <row r="1572">
          <cell r="H1572">
            <v>11999600</v>
          </cell>
        </row>
        <row r="1579">
          <cell r="H1579">
            <v>13796666</v>
          </cell>
        </row>
        <row r="1581">
          <cell r="AC1581">
            <v>13796666</v>
          </cell>
        </row>
        <row r="1601">
          <cell r="H1601">
            <v>6000000</v>
          </cell>
        </row>
        <row r="1616">
          <cell r="J1616">
            <v>328965376</v>
          </cell>
          <cell r="AC1616">
            <v>1223583681</v>
          </cell>
        </row>
        <row r="1655">
          <cell r="AC1655">
            <v>84999998</v>
          </cell>
        </row>
        <row r="1656">
          <cell r="H1656">
            <v>44999998</v>
          </cell>
        </row>
        <row r="1667">
          <cell r="H1667">
            <v>15000000</v>
          </cell>
        </row>
        <row r="1685">
          <cell r="H1685">
            <v>155239307</v>
          </cell>
        </row>
        <row r="1752">
          <cell r="AC1752">
            <v>47999998</v>
          </cell>
        </row>
        <row r="1785">
          <cell r="H1785">
            <v>40000000</v>
          </cell>
        </row>
        <row r="1796">
          <cell r="H1796">
            <v>13000000</v>
          </cell>
        </row>
        <row r="1811">
          <cell r="H1811">
            <v>56842454</v>
          </cell>
        </row>
        <row r="1813">
          <cell r="Q1813">
            <v>331265409</v>
          </cell>
        </row>
        <row r="1832">
          <cell r="U1832">
            <v>23206700</v>
          </cell>
          <cell r="AB1832">
            <v>64333484</v>
          </cell>
        </row>
        <row r="1833">
          <cell r="H1833">
            <v>7680000</v>
          </cell>
        </row>
        <row r="1835">
          <cell r="H1835">
            <v>8442532</v>
          </cell>
        </row>
        <row r="1839">
          <cell r="H1839">
            <v>86577260</v>
          </cell>
        </row>
        <row r="1841">
          <cell r="H1841">
            <v>6399997</v>
          </cell>
        </row>
        <row r="1843">
          <cell r="H1843">
            <v>8400000</v>
          </cell>
        </row>
        <row r="1846">
          <cell r="H1846">
            <v>35849107</v>
          </cell>
        </row>
        <row r="1850">
          <cell r="H1850">
            <v>33126744</v>
          </cell>
        </row>
        <row r="1853">
          <cell r="H1853">
            <v>48667149</v>
          </cell>
        </row>
        <row r="1863">
          <cell r="H1863">
            <v>49199967</v>
          </cell>
        </row>
        <row r="1866">
          <cell r="H1866">
            <v>4615096</v>
          </cell>
        </row>
        <row r="1872">
          <cell r="H1872">
            <v>6634245</v>
          </cell>
        </row>
        <row r="1875">
          <cell r="H1875">
            <v>5845753</v>
          </cell>
        </row>
        <row r="1878">
          <cell r="H1878">
            <v>48981710</v>
          </cell>
        </row>
        <row r="1891">
          <cell r="H1891">
            <v>151180070</v>
          </cell>
        </row>
        <row r="1934">
          <cell r="H1934">
            <v>410489538</v>
          </cell>
        </row>
        <row r="1937">
          <cell r="H1937">
            <v>6000000</v>
          </cell>
        </row>
        <row r="1939">
          <cell r="H1939">
            <v>2959112</v>
          </cell>
        </row>
        <row r="1941">
          <cell r="H1941">
            <v>20371843</v>
          </cell>
        </row>
        <row r="1948">
          <cell r="Q1948">
            <v>70000000</v>
          </cell>
          <cell r="AB1948">
            <v>48713410</v>
          </cell>
        </row>
        <row r="1949">
          <cell r="H1949">
            <v>25166664</v>
          </cell>
        </row>
        <row r="1952">
          <cell r="H1952">
            <v>875454</v>
          </cell>
        </row>
        <row r="1954">
          <cell r="H1954">
            <v>1333344</v>
          </cell>
        </row>
        <row r="1955">
          <cell r="H1955">
            <v>1101627</v>
          </cell>
        </row>
        <row r="1958">
          <cell r="H1958">
            <v>1101627</v>
          </cell>
        </row>
        <row r="1960">
          <cell r="H1960">
            <v>1447600</v>
          </cell>
        </row>
        <row r="1963">
          <cell r="H1963">
            <v>11830444</v>
          </cell>
        </row>
        <row r="1966">
          <cell r="H1966">
            <v>5000000</v>
          </cell>
        </row>
        <row r="1968">
          <cell r="H1968">
            <v>180000</v>
          </cell>
        </row>
        <row r="1969">
          <cell r="H1969">
            <v>364418</v>
          </cell>
        </row>
        <row r="1970">
          <cell r="H1970">
            <v>364418</v>
          </cell>
        </row>
        <row r="1971">
          <cell r="H1971">
            <v>360000</v>
          </cell>
        </row>
        <row r="1973">
          <cell r="H1973">
            <v>2500000</v>
          </cell>
        </row>
        <row r="1974">
          <cell r="H1974">
            <v>2500000</v>
          </cell>
        </row>
        <row r="1975">
          <cell r="H1975">
            <v>1697674</v>
          </cell>
        </row>
        <row r="1976">
          <cell r="H1976">
            <v>2340072</v>
          </cell>
        </row>
        <row r="1977">
          <cell r="H1977">
            <v>200000</v>
          </cell>
        </row>
        <row r="1978">
          <cell r="H1978">
            <v>364418</v>
          </cell>
        </row>
        <row r="1979">
          <cell r="H1979">
            <v>2500000</v>
          </cell>
        </row>
        <row r="1980">
          <cell r="H1980">
            <v>2500000</v>
          </cell>
        </row>
        <row r="1981">
          <cell r="H1981">
            <v>613000</v>
          </cell>
        </row>
        <row r="1982">
          <cell r="H1982">
            <v>484058</v>
          </cell>
        </row>
        <row r="1984">
          <cell r="H1984">
            <v>2000000</v>
          </cell>
        </row>
        <row r="1985">
          <cell r="H1985">
            <v>1128254</v>
          </cell>
        </row>
        <row r="1986">
          <cell r="H1986">
            <v>2483296</v>
          </cell>
        </row>
        <row r="1987">
          <cell r="H1987">
            <v>3000000</v>
          </cell>
        </row>
        <row r="1988">
          <cell r="H1988">
            <v>2483296</v>
          </cell>
        </row>
        <row r="1989">
          <cell r="H1989">
            <v>502558</v>
          </cell>
        </row>
        <row r="1990">
          <cell r="H1990">
            <v>2100000</v>
          </cell>
        </row>
        <row r="1993">
          <cell r="H1993">
            <v>2000000</v>
          </cell>
        </row>
        <row r="1996">
          <cell r="H1996">
            <v>6666667</v>
          </cell>
        </row>
        <row r="2000">
          <cell r="H2000">
            <v>1002654</v>
          </cell>
        </row>
        <row r="2001">
          <cell r="H2001">
            <v>1364857</v>
          </cell>
        </row>
        <row r="2002">
          <cell r="H2002">
            <v>1500000</v>
          </cell>
        </row>
        <row r="2003">
          <cell r="H2003">
            <v>2500000</v>
          </cell>
        </row>
        <row r="2004">
          <cell r="H2004">
            <v>1400000</v>
          </cell>
        </row>
        <row r="2005">
          <cell r="H2005">
            <v>1000000</v>
          </cell>
        </row>
        <row r="2006">
          <cell r="H2006">
            <v>5200000</v>
          </cell>
        </row>
        <row r="2008">
          <cell r="H2008">
            <v>1435500</v>
          </cell>
        </row>
        <row r="2009">
          <cell r="H2009">
            <v>2500000</v>
          </cell>
        </row>
        <row r="2010">
          <cell r="H2010">
            <v>100000</v>
          </cell>
        </row>
        <row r="2011">
          <cell r="H2011">
            <v>1607535</v>
          </cell>
        </row>
        <row r="2012">
          <cell r="H2012">
            <v>2500000</v>
          </cell>
        </row>
        <row r="2013">
          <cell r="H2013">
            <v>772465</v>
          </cell>
        </row>
        <row r="2014">
          <cell r="H2014">
            <v>2500000</v>
          </cell>
        </row>
        <row r="2015">
          <cell r="H2015">
            <v>803600</v>
          </cell>
        </row>
        <row r="2016">
          <cell r="H2016">
            <v>803600</v>
          </cell>
        </row>
        <row r="2017">
          <cell r="H2017">
            <v>392600</v>
          </cell>
        </row>
        <row r="2018">
          <cell r="H2018">
            <v>577436</v>
          </cell>
        </row>
        <row r="2019">
          <cell r="H2019">
            <v>1044274</v>
          </cell>
        </row>
        <row r="2053">
          <cell r="V2053">
            <v>2114681</v>
          </cell>
          <cell r="W2053">
            <v>2565739</v>
          </cell>
          <cell r="X2053">
            <v>2768519</v>
          </cell>
        </row>
        <row r="2054">
          <cell r="H2054">
            <v>5000000</v>
          </cell>
        </row>
        <row r="2059">
          <cell r="H2059">
            <v>950000</v>
          </cell>
        </row>
        <row r="2061">
          <cell r="H2061">
            <v>950000</v>
          </cell>
        </row>
        <row r="2063">
          <cell r="H2063">
            <v>950000</v>
          </cell>
        </row>
        <row r="2066">
          <cell r="H2066">
            <v>436058</v>
          </cell>
        </row>
        <row r="2067">
          <cell r="H2067">
            <v>459058</v>
          </cell>
        </row>
        <row r="2068">
          <cell r="H2068">
            <v>474058</v>
          </cell>
        </row>
        <row r="2069">
          <cell r="H2069">
            <v>464058</v>
          </cell>
        </row>
        <row r="2070">
          <cell r="H2070">
            <v>5000000</v>
          </cell>
        </row>
        <row r="2074">
          <cell r="H2074">
            <v>3000000</v>
          </cell>
        </row>
        <row r="2076">
          <cell r="H2076">
            <v>4878667</v>
          </cell>
        </row>
        <row r="2079">
          <cell r="H2079">
            <v>1266000</v>
          </cell>
        </row>
        <row r="2080">
          <cell r="H2080">
            <v>1000000</v>
          </cell>
        </row>
        <row r="2082">
          <cell r="H2082">
            <v>205623</v>
          </cell>
        </row>
        <row r="2083">
          <cell r="H2083">
            <v>205623</v>
          </cell>
        </row>
        <row r="2084">
          <cell r="H2084">
            <v>205623</v>
          </cell>
        </row>
        <row r="2085">
          <cell r="H2085">
            <v>648838</v>
          </cell>
        </row>
        <row r="2086">
          <cell r="H2086">
            <v>500000</v>
          </cell>
        </row>
        <row r="2087">
          <cell r="H2087">
            <v>500000</v>
          </cell>
        </row>
        <row r="2088">
          <cell r="H2088">
            <v>500000</v>
          </cell>
        </row>
        <row r="2116">
          <cell r="AG2116">
            <v>73276463</v>
          </cell>
        </row>
        <row r="2117">
          <cell r="H2117">
            <v>6995333</v>
          </cell>
        </row>
        <row r="2129">
          <cell r="H2129">
            <v>2440500</v>
          </cell>
        </row>
        <row r="2130">
          <cell r="H2130">
            <v>8403474</v>
          </cell>
        </row>
        <row r="2132">
          <cell r="H2132">
            <v>7963333</v>
          </cell>
        </row>
        <row r="2141">
          <cell r="H2141">
            <v>4935728</v>
          </cell>
        </row>
        <row r="2142">
          <cell r="H2142">
            <v>441538</v>
          </cell>
        </row>
        <row r="2143">
          <cell r="H2143">
            <v>1000000</v>
          </cell>
        </row>
        <row r="2147">
          <cell r="H2147">
            <v>911246</v>
          </cell>
        </row>
        <row r="2155">
          <cell r="H2155">
            <v>560000</v>
          </cell>
        </row>
        <row r="2156">
          <cell r="H2156">
            <v>589220</v>
          </cell>
        </row>
        <row r="2158">
          <cell r="H2158">
            <v>1500000</v>
          </cell>
        </row>
        <row r="2163">
          <cell r="H2163">
            <v>608524</v>
          </cell>
        </row>
        <row r="2167">
          <cell r="H2167">
            <v>1334154</v>
          </cell>
        </row>
        <row r="2168">
          <cell r="H2168">
            <v>1410780</v>
          </cell>
        </row>
        <row r="2169">
          <cell r="H2169">
            <v>2000000</v>
          </cell>
        </row>
        <row r="2178">
          <cell r="H2178">
            <v>660298</v>
          </cell>
        </row>
        <row r="2179">
          <cell r="H2179">
            <v>6339702</v>
          </cell>
        </row>
        <row r="2180">
          <cell r="H2180">
            <v>2783000</v>
          </cell>
        </row>
        <row r="2181">
          <cell r="H2181">
            <v>350000</v>
          </cell>
        </row>
        <row r="2182">
          <cell r="H2182">
            <v>607545</v>
          </cell>
        </row>
        <row r="2183">
          <cell r="H2183">
            <v>1500000</v>
          </cell>
        </row>
        <row r="2184">
          <cell r="H2184">
            <v>1000000</v>
          </cell>
        </row>
        <row r="2185">
          <cell r="H2185">
            <v>2312000</v>
          </cell>
        </row>
        <row r="2186">
          <cell r="H2186">
            <v>1000000</v>
          </cell>
        </row>
        <row r="2187">
          <cell r="H2187">
            <v>500000</v>
          </cell>
        </row>
        <row r="2188">
          <cell r="H2188">
            <v>1000000</v>
          </cell>
        </row>
        <row r="2202">
          <cell r="AD2202">
            <v>285623667</v>
          </cell>
        </row>
        <row r="2203">
          <cell r="H2203">
            <v>25031559</v>
          </cell>
        </row>
        <row r="2214">
          <cell r="H2214">
            <v>35000000</v>
          </cell>
        </row>
        <row r="2228">
          <cell r="I2228">
            <v>945337</v>
          </cell>
          <cell r="Z2228">
            <v>20000000</v>
          </cell>
          <cell r="AD2228">
            <v>91899873</v>
          </cell>
        </row>
        <row r="2261">
          <cell r="H2261">
            <v>21679242</v>
          </cell>
        </row>
        <row r="2286">
          <cell r="H2286">
            <v>100412960</v>
          </cell>
        </row>
        <row r="2301">
          <cell r="H2301">
            <v>980000</v>
          </cell>
        </row>
        <row r="2305">
          <cell r="H2305">
            <v>11526786</v>
          </cell>
        </row>
        <row r="2313">
          <cell r="H2313">
            <v>19879424</v>
          </cell>
        </row>
        <row r="2334">
          <cell r="Q2334">
            <v>4000000</v>
          </cell>
        </row>
        <row r="2335">
          <cell r="H2335">
            <v>7852000</v>
          </cell>
        </row>
        <row r="2337">
          <cell r="H2337">
            <v>5000000</v>
          </cell>
        </row>
        <row r="2339">
          <cell r="H2339">
            <v>8756900</v>
          </cell>
        </row>
        <row r="2342">
          <cell r="H2342">
            <v>2100000</v>
          </cell>
        </row>
        <row r="2345">
          <cell r="H2345">
            <v>1338750</v>
          </cell>
        </row>
        <row r="2346">
          <cell r="H2346">
            <v>150000</v>
          </cell>
        </row>
        <row r="2347">
          <cell r="H2347">
            <v>264419</v>
          </cell>
        </row>
        <row r="2348">
          <cell r="H2348">
            <v>428437</v>
          </cell>
        </row>
        <row r="2349">
          <cell r="H2349">
            <v>550000</v>
          </cell>
        </row>
        <row r="2350">
          <cell r="H2350">
            <v>2500000</v>
          </cell>
        </row>
        <row r="2355">
          <cell r="H2355">
            <v>5000000</v>
          </cell>
        </row>
        <row r="2358">
          <cell r="H2358">
            <v>3500000</v>
          </cell>
        </row>
        <row r="2361">
          <cell r="H2361">
            <v>6500000</v>
          </cell>
        </row>
        <row r="2363">
          <cell r="H2363">
            <v>1200000</v>
          </cell>
        </row>
        <row r="2366">
          <cell r="H2366">
            <v>2274522</v>
          </cell>
        </row>
        <row r="2369">
          <cell r="H2369">
            <v>1617241</v>
          </cell>
        </row>
        <row r="2371">
          <cell r="H2371">
            <v>645000</v>
          </cell>
        </row>
        <row r="2372">
          <cell r="H2372">
            <v>2000000</v>
          </cell>
        </row>
        <row r="2376">
          <cell r="H2376">
            <v>1621956</v>
          </cell>
        </row>
        <row r="2377">
          <cell r="H2377">
            <v>2500000</v>
          </cell>
        </row>
        <row r="2389">
          <cell r="H2389">
            <v>8184270</v>
          </cell>
        </row>
        <row r="2391">
          <cell r="AB2391">
            <v>9384270</v>
          </cell>
        </row>
        <row r="2404">
          <cell r="H2404">
            <v>5080000</v>
          </cell>
        </row>
        <row r="2406">
          <cell r="Q2406">
            <v>5780000</v>
          </cell>
        </row>
        <row r="2428">
          <cell r="Q2428">
            <v>7055740</v>
          </cell>
          <cell r="AB2428">
            <v>5625000</v>
          </cell>
        </row>
        <row r="2435">
          <cell r="H2435">
            <v>3000000</v>
          </cell>
        </row>
        <row r="2437">
          <cell r="H2437">
            <v>2625000</v>
          </cell>
        </row>
        <row r="2442">
          <cell r="Q2442">
            <v>9674820</v>
          </cell>
          <cell r="AB2442">
            <v>3225180</v>
          </cell>
        </row>
        <row r="2443">
          <cell r="H2443">
            <v>900000</v>
          </cell>
        </row>
        <row r="2444">
          <cell r="H2444">
            <v>3000000</v>
          </cell>
        </row>
        <row r="2445">
          <cell r="H2445">
            <v>225180</v>
          </cell>
        </row>
        <row r="2446">
          <cell r="H2446">
            <v>2774820</v>
          </cell>
        </row>
        <row r="2447">
          <cell r="H2447">
            <v>3000000</v>
          </cell>
        </row>
        <row r="2448">
          <cell r="H2448">
            <v>3000000</v>
          </cell>
        </row>
        <row r="2453">
          <cell r="Q2453">
            <v>6626929</v>
          </cell>
          <cell r="AB2453">
            <v>1070000</v>
          </cell>
        </row>
        <row r="2454">
          <cell r="H2454">
            <v>2000000</v>
          </cell>
        </row>
        <row r="2457">
          <cell r="H2457">
            <v>1276929</v>
          </cell>
        </row>
        <row r="2458">
          <cell r="H2458">
            <v>300000</v>
          </cell>
        </row>
        <row r="2459">
          <cell r="H2459">
            <v>750000</v>
          </cell>
        </row>
        <row r="2460">
          <cell r="H2460">
            <v>1000000</v>
          </cell>
        </row>
        <row r="2461">
          <cell r="H2461">
            <v>300000</v>
          </cell>
        </row>
        <row r="2469">
          <cell r="AB2469">
            <v>15906717</v>
          </cell>
        </row>
        <row r="2470">
          <cell r="H2470">
            <v>871475</v>
          </cell>
        </row>
        <row r="2472">
          <cell r="H2472">
            <v>2000000</v>
          </cell>
        </row>
        <row r="2475">
          <cell r="H2475">
            <v>1999999</v>
          </cell>
        </row>
        <row r="2479">
          <cell r="H2479">
            <v>1816792</v>
          </cell>
        </row>
        <row r="2490">
          <cell r="H2490">
            <v>15804734</v>
          </cell>
        </row>
        <row r="2492">
          <cell r="Q2492">
            <v>20720111</v>
          </cell>
        </row>
        <row r="2519">
          <cell r="Q2519">
            <v>89325875</v>
          </cell>
          <cell r="AG2519">
            <v>11362000</v>
          </cell>
        </row>
        <row r="2520">
          <cell r="H2520">
            <v>11027140</v>
          </cell>
        </row>
        <row r="2522">
          <cell r="H2522">
            <v>845303</v>
          </cell>
        </row>
        <row r="2524">
          <cell r="H2524">
            <v>435000</v>
          </cell>
        </row>
        <row r="2529">
          <cell r="H2529">
            <v>600000</v>
          </cell>
        </row>
        <row r="2530">
          <cell r="H2530">
            <v>480000</v>
          </cell>
        </row>
        <row r="2531">
          <cell r="H2531">
            <v>150000</v>
          </cell>
        </row>
        <row r="2532">
          <cell r="H2532">
            <v>2040000</v>
          </cell>
        </row>
        <row r="2534">
          <cell r="H2534">
            <v>567182</v>
          </cell>
        </row>
        <row r="2536">
          <cell r="H2536">
            <v>224553</v>
          </cell>
        </row>
        <row r="2539">
          <cell r="H2539">
            <v>1200000</v>
          </cell>
        </row>
        <row r="2540">
          <cell r="H2540">
            <v>1105876</v>
          </cell>
        </row>
        <row r="2541">
          <cell r="H2541">
            <v>2542394</v>
          </cell>
        </row>
        <row r="2542">
          <cell r="H2542">
            <v>176600</v>
          </cell>
        </row>
        <row r="2543">
          <cell r="H2543">
            <v>1400000</v>
          </cell>
        </row>
        <row r="2544">
          <cell r="H2544">
            <v>1565014</v>
          </cell>
        </row>
        <row r="2545">
          <cell r="H2545">
            <v>60000</v>
          </cell>
        </row>
        <row r="2546">
          <cell r="H2546">
            <v>1542500</v>
          </cell>
        </row>
        <row r="2547">
          <cell r="H2547">
            <v>994124</v>
          </cell>
        </row>
        <row r="2548">
          <cell r="H2548">
            <v>11830444</v>
          </cell>
        </row>
        <row r="2552">
          <cell r="H2552">
            <v>330000</v>
          </cell>
        </row>
        <row r="2554">
          <cell r="H2554">
            <v>416250</v>
          </cell>
        </row>
        <row r="2556">
          <cell r="H2556">
            <v>960000</v>
          </cell>
        </row>
        <row r="2557">
          <cell r="H2557">
            <v>756000</v>
          </cell>
        </row>
        <row r="2558">
          <cell r="H2558">
            <v>2500000</v>
          </cell>
        </row>
        <row r="2559">
          <cell r="H2559">
            <v>862492</v>
          </cell>
        </row>
        <row r="2560">
          <cell r="H2560">
            <v>925650</v>
          </cell>
        </row>
        <row r="2561">
          <cell r="H2561">
            <v>690000</v>
          </cell>
        </row>
        <row r="2562">
          <cell r="H2562">
            <v>1400000</v>
          </cell>
        </row>
        <row r="2563">
          <cell r="H2563">
            <v>2030000</v>
          </cell>
        </row>
        <row r="2564">
          <cell r="H2564">
            <v>675000</v>
          </cell>
        </row>
        <row r="2565">
          <cell r="H2565">
            <v>401246</v>
          </cell>
        </row>
        <row r="2566">
          <cell r="H2566">
            <v>300000</v>
          </cell>
        </row>
        <row r="2567">
          <cell r="H2567">
            <v>845303</v>
          </cell>
        </row>
        <row r="2568">
          <cell r="H2568">
            <v>2640000</v>
          </cell>
        </row>
        <row r="2570">
          <cell r="H2570">
            <v>1080000</v>
          </cell>
        </row>
        <row r="2571">
          <cell r="H2571">
            <v>800000</v>
          </cell>
        </row>
        <row r="2572">
          <cell r="H2572">
            <v>456000</v>
          </cell>
        </row>
        <row r="2573">
          <cell r="H2573">
            <v>2000000</v>
          </cell>
        </row>
        <row r="2574">
          <cell r="H2574">
            <v>360000</v>
          </cell>
        </row>
        <row r="2575">
          <cell r="H2575">
            <v>8000000</v>
          </cell>
        </row>
        <row r="2577">
          <cell r="H2577">
            <v>3132000</v>
          </cell>
        </row>
        <row r="2578">
          <cell r="H2578">
            <v>1572915</v>
          </cell>
        </row>
        <row r="2579">
          <cell r="H2579">
            <v>496000</v>
          </cell>
        </row>
        <row r="2580">
          <cell r="H2580">
            <v>840000</v>
          </cell>
        </row>
        <row r="2581">
          <cell r="H2581">
            <v>2337476</v>
          </cell>
        </row>
        <row r="2582">
          <cell r="H2582">
            <v>496000</v>
          </cell>
        </row>
        <row r="2583">
          <cell r="H2583">
            <v>250000</v>
          </cell>
        </row>
        <row r="2584">
          <cell r="H2584">
            <v>400000</v>
          </cell>
        </row>
        <row r="2585">
          <cell r="H2585">
            <v>1080000</v>
          </cell>
        </row>
        <row r="2586">
          <cell r="H2586">
            <v>4120000</v>
          </cell>
        </row>
        <row r="2587">
          <cell r="H2587">
            <v>608359</v>
          </cell>
        </row>
        <row r="2588">
          <cell r="H2588">
            <v>616869</v>
          </cell>
        </row>
        <row r="2589">
          <cell r="H2589">
            <v>250000</v>
          </cell>
        </row>
        <row r="2590">
          <cell r="H2590">
            <v>1224998</v>
          </cell>
        </row>
        <row r="2591">
          <cell r="H2591">
            <v>520000</v>
          </cell>
        </row>
        <row r="2592">
          <cell r="H2592">
            <v>828000</v>
          </cell>
        </row>
        <row r="2593">
          <cell r="H2593">
            <v>491246</v>
          </cell>
        </row>
        <row r="2594">
          <cell r="H2594">
            <v>330790</v>
          </cell>
        </row>
        <row r="2595">
          <cell r="H2595">
            <v>150000</v>
          </cell>
        </row>
        <row r="2596">
          <cell r="H2596">
            <v>2100000</v>
          </cell>
        </row>
        <row r="2597">
          <cell r="H2597">
            <v>1945500</v>
          </cell>
        </row>
        <row r="2599">
          <cell r="H2599">
            <v>1050000</v>
          </cell>
        </row>
        <row r="2600">
          <cell r="H2600">
            <v>700000</v>
          </cell>
        </row>
        <row r="2601">
          <cell r="H2601">
            <v>1000000</v>
          </cell>
        </row>
        <row r="2602">
          <cell r="H2602">
            <v>612000</v>
          </cell>
        </row>
        <row r="2603">
          <cell r="H2603">
            <v>732000</v>
          </cell>
        </row>
        <row r="2604">
          <cell r="H2604">
            <v>480000</v>
          </cell>
        </row>
        <row r="2605">
          <cell r="H2605">
            <v>493000</v>
          </cell>
        </row>
        <row r="2606">
          <cell r="H2606">
            <v>800000</v>
          </cell>
        </row>
        <row r="2607">
          <cell r="H2607">
            <v>800000</v>
          </cell>
        </row>
        <row r="2659">
          <cell r="H2659">
            <v>674480592</v>
          </cell>
        </row>
        <row r="2661">
          <cell r="U2661">
            <v>699981600</v>
          </cell>
          <cell r="AA2661">
            <v>46996115</v>
          </cell>
        </row>
        <row r="2662">
          <cell r="H2662">
            <v>300000</v>
          </cell>
        </row>
        <row r="2664">
          <cell r="H2664">
            <v>300000</v>
          </cell>
        </row>
        <row r="2666">
          <cell r="H2666">
            <v>10999996</v>
          </cell>
        </row>
        <row r="2669">
          <cell r="H2669">
            <v>225188</v>
          </cell>
        </row>
        <row r="2671">
          <cell r="H2671">
            <v>3736600</v>
          </cell>
        </row>
        <row r="2673">
          <cell r="H2673">
            <v>1300000</v>
          </cell>
        </row>
        <row r="2675">
          <cell r="H2675">
            <v>10999996</v>
          </cell>
        </row>
        <row r="2678">
          <cell r="H2678">
            <v>6000000</v>
          </cell>
        </row>
        <row r="2680">
          <cell r="H2680">
            <v>11065752</v>
          </cell>
        </row>
        <row r="2683">
          <cell r="H2683">
            <v>2814435</v>
          </cell>
        </row>
        <row r="2684">
          <cell r="H2684">
            <v>930000</v>
          </cell>
        </row>
        <row r="2685">
          <cell r="H2685">
            <v>1228000</v>
          </cell>
        </row>
        <row r="2687">
          <cell r="H2687">
            <v>11000000</v>
          </cell>
        </row>
        <row r="2691">
          <cell r="H2691">
            <v>2000000</v>
          </cell>
        </row>
        <row r="2692">
          <cell r="H2692">
            <v>2261395</v>
          </cell>
        </row>
        <row r="2693">
          <cell r="H2693">
            <v>3797090</v>
          </cell>
        </row>
        <row r="2694">
          <cell r="H2694">
            <v>3797090</v>
          </cell>
        </row>
        <row r="2695">
          <cell r="H2695">
            <v>4044456</v>
          </cell>
        </row>
        <row r="2696">
          <cell r="H2696">
            <v>1555560</v>
          </cell>
        </row>
        <row r="2697">
          <cell r="H2697">
            <v>11699996</v>
          </cell>
        </row>
        <row r="2699">
          <cell r="H2699">
            <v>11919000</v>
          </cell>
        </row>
        <row r="2990">
          <cell r="H2990">
            <v>3150000</v>
          </cell>
        </row>
        <row r="2991">
          <cell r="H2991">
            <v>8071110</v>
          </cell>
        </row>
        <row r="2994">
          <cell r="H2994">
            <v>700000</v>
          </cell>
        </row>
        <row r="2995">
          <cell r="H2995">
            <v>430000</v>
          </cell>
        </row>
        <row r="2996">
          <cell r="H2996">
            <v>2484000</v>
          </cell>
        </row>
        <row r="2998">
          <cell r="H2998">
            <v>228000</v>
          </cell>
        </row>
        <row r="2999">
          <cell r="H2999">
            <v>600000</v>
          </cell>
        </row>
        <row r="3017">
          <cell r="H3017">
            <v>4116235</v>
          </cell>
        </row>
        <row r="3019">
          <cell r="AB3019">
            <v>4500000</v>
          </cell>
        </row>
        <row r="3025">
          <cell r="Q3025">
            <v>84845306</v>
          </cell>
          <cell r="R3025">
            <v>3200000</v>
          </cell>
          <cell r="S3025">
            <v>22983702</v>
          </cell>
          <cell r="T3025">
            <v>2000000</v>
          </cell>
        </row>
        <row r="3026">
          <cell r="H3026">
            <v>11027141</v>
          </cell>
        </row>
        <row r="3028">
          <cell r="H3028">
            <v>1490000</v>
          </cell>
        </row>
        <row r="3029">
          <cell r="H3029">
            <v>2451510</v>
          </cell>
        </row>
        <row r="3031">
          <cell r="H3031">
            <v>600000</v>
          </cell>
        </row>
        <row r="3033">
          <cell r="H3033">
            <v>89999</v>
          </cell>
        </row>
        <row r="3035">
          <cell r="H3035">
            <v>2542000</v>
          </cell>
        </row>
        <row r="3037">
          <cell r="H3037">
            <v>1972890</v>
          </cell>
        </row>
        <row r="3038">
          <cell r="H3038">
            <v>567182</v>
          </cell>
        </row>
        <row r="3039">
          <cell r="H3039">
            <v>1000000</v>
          </cell>
        </row>
        <row r="3040">
          <cell r="H3040">
            <v>1900000</v>
          </cell>
        </row>
        <row r="3041">
          <cell r="H3041">
            <v>1952000</v>
          </cell>
        </row>
        <row r="3042">
          <cell r="H3042">
            <v>11830444</v>
          </cell>
        </row>
        <row r="3048">
          <cell r="H3048">
            <v>4209217</v>
          </cell>
        </row>
        <row r="3050">
          <cell r="H3050">
            <v>1270755</v>
          </cell>
        </row>
        <row r="3051">
          <cell r="H3051">
            <v>1270755</v>
          </cell>
        </row>
        <row r="3052">
          <cell r="H3052">
            <v>862492</v>
          </cell>
        </row>
        <row r="3053">
          <cell r="H3053">
            <v>2118400</v>
          </cell>
        </row>
        <row r="3056">
          <cell r="H3056">
            <v>1500000</v>
          </cell>
        </row>
        <row r="3059">
          <cell r="H3059">
            <v>3109901</v>
          </cell>
        </row>
        <row r="3062">
          <cell r="H3062">
            <v>1581598</v>
          </cell>
        </row>
        <row r="3065">
          <cell r="H3065">
            <v>1724000</v>
          </cell>
        </row>
        <row r="3068">
          <cell r="H3068">
            <v>1933000</v>
          </cell>
        </row>
        <row r="3069">
          <cell r="H3069">
            <v>2472747</v>
          </cell>
        </row>
        <row r="3070">
          <cell r="H3070">
            <v>401246</v>
          </cell>
        </row>
        <row r="3071">
          <cell r="H3071">
            <v>600000</v>
          </cell>
        </row>
        <row r="3072">
          <cell r="H3072">
            <v>2000000</v>
          </cell>
        </row>
        <row r="3073">
          <cell r="H3073">
            <v>1200000</v>
          </cell>
        </row>
        <row r="3074">
          <cell r="H3074">
            <v>1100000</v>
          </cell>
        </row>
        <row r="3077">
          <cell r="H3077">
            <v>76000</v>
          </cell>
        </row>
        <row r="3079">
          <cell r="H3079">
            <v>845303</v>
          </cell>
        </row>
        <row r="3081">
          <cell r="H3081">
            <v>2800000</v>
          </cell>
        </row>
        <row r="3085">
          <cell r="H3085">
            <v>1180000</v>
          </cell>
        </row>
        <row r="3086">
          <cell r="H3086">
            <v>1159320</v>
          </cell>
        </row>
        <row r="3087">
          <cell r="H3087">
            <v>1400000</v>
          </cell>
        </row>
        <row r="3088">
          <cell r="H3088">
            <v>4442302</v>
          </cell>
        </row>
        <row r="3089">
          <cell r="H3089">
            <v>616869</v>
          </cell>
        </row>
        <row r="3090">
          <cell r="H3090">
            <v>481600</v>
          </cell>
        </row>
        <row r="3093">
          <cell r="H3093">
            <v>642654</v>
          </cell>
        </row>
        <row r="3095">
          <cell r="H3095">
            <v>2000000</v>
          </cell>
        </row>
        <row r="3096">
          <cell r="H3096">
            <v>3200000</v>
          </cell>
        </row>
        <row r="3100">
          <cell r="H3100">
            <v>5740800</v>
          </cell>
        </row>
        <row r="3101">
          <cell r="H3101">
            <v>4000000</v>
          </cell>
        </row>
        <row r="3103">
          <cell r="H3103">
            <v>8800600</v>
          </cell>
        </row>
        <row r="3130">
          <cell r="H3130">
            <v>83993675</v>
          </cell>
        </row>
        <row r="3132">
          <cell r="Q3132">
            <v>94858676</v>
          </cell>
        </row>
        <row r="3158">
          <cell r="H3158">
            <v>1130860331</v>
          </cell>
        </row>
        <row r="3214">
          <cell r="H3214">
            <v>12583330</v>
          </cell>
        </row>
        <row r="3225">
          <cell r="H3225">
            <v>11200000</v>
          </cell>
        </row>
        <row r="3235">
          <cell r="H3235">
            <v>18533333</v>
          </cell>
        </row>
        <row r="3292">
          <cell r="H3292">
            <v>3780000</v>
          </cell>
        </row>
        <row r="3304">
          <cell r="H3304">
            <v>6366400</v>
          </cell>
        </row>
        <row r="3448">
          <cell r="Q3448">
            <v>45418660</v>
          </cell>
          <cell r="U3448">
            <v>18457751</v>
          </cell>
          <cell r="AB3448">
            <v>63254283</v>
          </cell>
          <cell r="AG3448">
            <v>25000000</v>
          </cell>
        </row>
        <row r="3449">
          <cell r="H3449">
            <v>6253333</v>
          </cell>
        </row>
        <row r="3451">
          <cell r="H3451">
            <v>34838392</v>
          </cell>
        </row>
        <row r="3453">
          <cell r="H3453">
            <v>4999991</v>
          </cell>
        </row>
        <row r="3455">
          <cell r="H3455">
            <v>8281160</v>
          </cell>
        </row>
        <row r="3457">
          <cell r="H3457">
            <v>4200000</v>
          </cell>
        </row>
        <row r="3459">
          <cell r="H3459">
            <v>462558</v>
          </cell>
        </row>
        <row r="3461">
          <cell r="H3461">
            <v>15000000</v>
          </cell>
        </row>
        <row r="3463">
          <cell r="H3463">
            <v>11999998</v>
          </cell>
        </row>
        <row r="3466">
          <cell r="H3466">
            <v>4473333</v>
          </cell>
        </row>
        <row r="3473">
          <cell r="H3473">
            <v>1670607</v>
          </cell>
        </row>
        <row r="3474">
          <cell r="H3474">
            <v>271000</v>
          </cell>
        </row>
        <row r="3475">
          <cell r="H3475">
            <v>1000000</v>
          </cell>
        </row>
        <row r="3478">
          <cell r="H3478">
            <v>3500000</v>
          </cell>
        </row>
        <row r="3481">
          <cell r="H3481">
            <v>1500000</v>
          </cell>
        </row>
        <row r="3485">
          <cell r="H3485">
            <v>364418</v>
          </cell>
        </row>
        <row r="3505">
          <cell r="Q3505">
            <v>91892248</v>
          </cell>
          <cell r="AB3505">
            <v>37587315</v>
          </cell>
        </row>
        <row r="3506">
          <cell r="H3506">
            <v>20924708</v>
          </cell>
        </row>
        <row r="3511">
          <cell r="H3511">
            <v>8556667</v>
          </cell>
        </row>
        <row r="3513">
          <cell r="H3513">
            <v>8000000</v>
          </cell>
        </row>
        <row r="3516">
          <cell r="H3516">
            <v>1750350</v>
          </cell>
        </row>
        <row r="3518">
          <cell r="H3518">
            <v>13533333</v>
          </cell>
        </row>
        <row r="3522">
          <cell r="H3522">
            <v>3504000</v>
          </cell>
        </row>
        <row r="3525">
          <cell r="H3525">
            <v>235936</v>
          </cell>
        </row>
        <row r="3526">
          <cell r="H3526">
            <v>235936</v>
          </cell>
        </row>
        <row r="3527">
          <cell r="H3527">
            <v>1766500</v>
          </cell>
        </row>
        <row r="3529">
          <cell r="H3529">
            <v>1766500</v>
          </cell>
        </row>
        <row r="3531">
          <cell r="H3531">
            <v>235936</v>
          </cell>
        </row>
        <row r="3532">
          <cell r="H3532">
            <v>4104000</v>
          </cell>
        </row>
        <row r="3533">
          <cell r="H3533">
            <v>4217474</v>
          </cell>
        </row>
        <row r="3534">
          <cell r="H3534">
            <v>2355699</v>
          </cell>
        </row>
        <row r="3535">
          <cell r="H3535">
            <v>3869000</v>
          </cell>
        </row>
        <row r="3537">
          <cell r="H3537">
            <v>2750000</v>
          </cell>
        </row>
        <row r="3542">
          <cell r="H3542">
            <v>2184894</v>
          </cell>
        </row>
        <row r="3546">
          <cell r="H3546">
            <v>4000000</v>
          </cell>
        </row>
        <row r="3550">
          <cell r="H3550">
            <v>740000</v>
          </cell>
        </row>
        <row r="3552">
          <cell r="H3552">
            <v>6500000</v>
          </cell>
        </row>
        <row r="3555">
          <cell r="H3555">
            <v>11583332</v>
          </cell>
        </row>
        <row r="3560">
          <cell r="H3560">
            <v>1277225</v>
          </cell>
        </row>
        <row r="3561">
          <cell r="H3561">
            <v>8395000</v>
          </cell>
        </row>
        <row r="3563">
          <cell r="H3563">
            <v>8973961</v>
          </cell>
        </row>
        <row r="3565">
          <cell r="H3565">
            <v>3134632</v>
          </cell>
        </row>
        <row r="3567">
          <cell r="H3567">
            <v>5668888</v>
          </cell>
        </row>
        <row r="3570">
          <cell r="H3570">
            <v>1972411</v>
          </cell>
        </row>
        <row r="3574">
          <cell r="H3574">
            <v>592000</v>
          </cell>
        </row>
        <row r="3575">
          <cell r="H3575">
            <v>982759</v>
          </cell>
        </row>
        <row r="3578">
          <cell r="H3578">
            <v>4771682</v>
          </cell>
        </row>
        <row r="3579">
          <cell r="H3579">
            <v>21880059</v>
          </cell>
        </row>
        <row r="3581">
          <cell r="H3581">
            <v>4000000</v>
          </cell>
        </row>
        <row r="3583">
          <cell r="H3583">
            <v>5780400</v>
          </cell>
        </row>
        <row r="3585">
          <cell r="AB3585">
            <v>4500000</v>
          </cell>
        </row>
        <row r="3599">
          <cell r="Q3599">
            <v>48942867</v>
          </cell>
          <cell r="AB3599">
            <v>131966331</v>
          </cell>
        </row>
        <row r="3787">
          <cell r="H3787">
            <v>4566436</v>
          </cell>
        </row>
        <row r="3818">
          <cell r="AG3818">
            <v>30456371</v>
          </cell>
        </row>
        <row r="3819">
          <cell r="H3819">
            <v>2999997</v>
          </cell>
        </row>
        <row r="3822">
          <cell r="H3822">
            <v>1700000</v>
          </cell>
        </row>
        <row r="3823">
          <cell r="H3823">
            <v>571280</v>
          </cell>
        </row>
        <row r="3824">
          <cell r="H3824">
            <v>571280</v>
          </cell>
        </row>
        <row r="3825">
          <cell r="H3825">
            <v>487814</v>
          </cell>
        </row>
        <row r="3828">
          <cell r="H3828">
            <v>10000000</v>
          </cell>
        </row>
        <row r="3831">
          <cell r="H3831">
            <v>998243</v>
          </cell>
        </row>
        <row r="3832">
          <cell r="H3832">
            <v>2500000</v>
          </cell>
        </row>
        <row r="3838">
          <cell r="H3838">
            <v>2000000</v>
          </cell>
        </row>
        <row r="3841">
          <cell r="H3841">
            <v>737000</v>
          </cell>
        </row>
        <row r="3842">
          <cell r="H3842">
            <v>2500000</v>
          </cell>
        </row>
        <row r="3844">
          <cell r="H3844">
            <v>1000000</v>
          </cell>
        </row>
        <row r="3852">
          <cell r="AF3852">
            <v>581330000</v>
          </cell>
        </row>
        <row r="3892">
          <cell r="N3892">
            <v>20644090</v>
          </cell>
        </row>
        <row r="3893">
          <cell r="H3893">
            <v>39260010</v>
          </cell>
        </row>
        <row r="3901">
          <cell r="H3901">
            <v>17300000</v>
          </cell>
        </row>
        <row r="3904">
          <cell r="H3904">
            <v>1000000</v>
          </cell>
        </row>
        <row r="3906">
          <cell r="H3906">
            <v>6000000</v>
          </cell>
        </row>
        <row r="3912">
          <cell r="H3912">
            <v>15439990</v>
          </cell>
        </row>
        <row r="3941">
          <cell r="H3941">
            <v>1000000</v>
          </cell>
        </row>
        <row r="3948">
          <cell r="H3948">
            <v>28000000</v>
          </cell>
        </row>
        <row r="3955">
          <cell r="H3955">
            <v>35000000</v>
          </cell>
        </row>
        <row r="3972">
          <cell r="H3972">
            <v>5000000</v>
          </cell>
        </row>
        <row r="3975">
          <cell r="H3975">
            <v>3000000</v>
          </cell>
        </row>
        <row r="3978">
          <cell r="H3978">
            <v>3000000</v>
          </cell>
        </row>
        <row r="3981">
          <cell r="H3981">
            <v>6000000</v>
          </cell>
        </row>
        <row r="3995">
          <cell r="H3995">
            <v>60399999</v>
          </cell>
        </row>
        <row r="4004">
          <cell r="H4004">
            <v>4115000</v>
          </cell>
        </row>
        <row r="4006">
          <cell r="H4006">
            <v>8600000</v>
          </cell>
        </row>
        <row r="4009">
          <cell r="H4009">
            <v>1267987</v>
          </cell>
        </row>
        <row r="4021">
          <cell r="K4021">
            <v>20800000</v>
          </cell>
        </row>
        <row r="4041">
          <cell r="H4041">
            <v>20000000</v>
          </cell>
        </row>
        <row r="4044">
          <cell r="H4044">
            <v>2368856</v>
          </cell>
        </row>
        <row r="4056">
          <cell r="H4056">
            <v>4210896</v>
          </cell>
        </row>
        <row r="4067">
          <cell r="H4067">
            <v>1995631</v>
          </cell>
        </row>
        <row r="4100">
          <cell r="H4100">
            <v>262606547</v>
          </cell>
        </row>
        <row r="4102">
          <cell r="AG4102">
            <v>131227178</v>
          </cell>
        </row>
        <row r="4111">
          <cell r="H4111">
            <v>121839999</v>
          </cell>
        </row>
        <row r="4140">
          <cell r="H4140">
            <v>3000000</v>
          </cell>
        </row>
        <row r="4143">
          <cell r="H4143">
            <v>10000000</v>
          </cell>
        </row>
        <row r="4149">
          <cell r="H4149">
            <v>3000000</v>
          </cell>
        </row>
        <row r="4152">
          <cell r="H4152">
            <v>1532790</v>
          </cell>
        </row>
        <row r="4164">
          <cell r="H4164">
            <v>1300000</v>
          </cell>
        </row>
        <row r="4209">
          <cell r="H4209">
            <v>72480000</v>
          </cell>
        </row>
        <row r="4223">
          <cell r="H4223">
            <v>77783</v>
          </cell>
        </row>
        <row r="4227">
          <cell r="H4227">
            <v>2000000</v>
          </cell>
        </row>
        <row r="4229">
          <cell r="H4229">
            <v>3000000</v>
          </cell>
        </row>
        <row r="4233">
          <cell r="H4233">
            <v>2109390</v>
          </cell>
        </row>
        <row r="4248">
          <cell r="H4248">
            <v>18073331</v>
          </cell>
        </row>
        <row r="4284">
          <cell r="H4284">
            <v>74364807</v>
          </cell>
        </row>
        <row r="4336">
          <cell r="K4336">
            <v>3825430</v>
          </cell>
        </row>
        <row r="4343">
          <cell r="AA4343">
            <v>25000000</v>
          </cell>
          <cell r="AG4343">
            <v>43850000</v>
          </cell>
        </row>
        <row r="4344">
          <cell r="H4344">
            <v>21500000</v>
          </cell>
        </row>
        <row r="4349">
          <cell r="H4349">
            <v>16000000</v>
          </cell>
        </row>
        <row r="4356">
          <cell r="H4356">
            <v>1750000</v>
          </cell>
        </row>
        <row r="4358">
          <cell r="H4358">
            <v>416558</v>
          </cell>
        </row>
        <row r="4359">
          <cell r="H4359">
            <v>3333000</v>
          </cell>
        </row>
        <row r="4360">
          <cell r="H4360">
            <v>1670200</v>
          </cell>
        </row>
        <row r="4365">
          <cell r="H4365">
            <v>1235000</v>
          </cell>
        </row>
        <row r="4367">
          <cell r="H4367">
            <v>3250442</v>
          </cell>
        </row>
        <row r="4368">
          <cell r="H4368">
            <v>2765000</v>
          </cell>
        </row>
        <row r="4370">
          <cell r="H4370">
            <v>5200000</v>
          </cell>
        </row>
        <row r="4376">
          <cell r="I4376">
            <v>936667</v>
          </cell>
          <cell r="Z4376">
            <v>19800000</v>
          </cell>
          <cell r="AA4376">
            <v>6000000</v>
          </cell>
        </row>
        <row r="4383">
          <cell r="H4383">
            <v>1500000</v>
          </cell>
        </row>
        <row r="4387">
          <cell r="H4387">
            <v>7000000</v>
          </cell>
        </row>
        <row r="4390">
          <cell r="H4390">
            <v>2000000</v>
          </cell>
        </row>
        <row r="4393">
          <cell r="H4393">
            <v>3880000</v>
          </cell>
        </row>
        <row r="4397">
          <cell r="H4397">
            <v>7600000</v>
          </cell>
        </row>
        <row r="4400">
          <cell r="H4400">
            <v>7000000</v>
          </cell>
        </row>
        <row r="4403">
          <cell r="H4403">
            <v>2040558</v>
          </cell>
        </row>
        <row r="4406">
          <cell r="H4406">
            <v>3000000</v>
          </cell>
        </row>
        <row r="4416">
          <cell r="H4416">
            <v>1223333</v>
          </cell>
        </row>
        <row r="4422">
          <cell r="H4422">
            <v>5000000</v>
          </cell>
        </row>
        <row r="4456">
          <cell r="AA4456">
            <v>9973333</v>
          </cell>
        </row>
        <row r="4508">
          <cell r="K4508">
            <v>150000000</v>
          </cell>
          <cell r="AA4508">
            <v>10000000</v>
          </cell>
        </row>
        <row r="4529">
          <cell r="H4529">
            <v>7000000</v>
          </cell>
        </row>
        <row r="4586">
          <cell r="H4586">
            <v>207301060</v>
          </cell>
        </row>
        <row r="4588">
          <cell r="K4588">
            <v>116064225</v>
          </cell>
          <cell r="AG4588">
            <v>123197635</v>
          </cell>
        </row>
        <row r="4599">
          <cell r="H4599">
            <v>5000000</v>
          </cell>
        </row>
        <row r="4603">
          <cell r="H4603">
            <v>1500000</v>
          </cell>
        </row>
        <row r="4615">
          <cell r="H4615">
            <v>1500000</v>
          </cell>
        </row>
        <row r="4619">
          <cell r="H4619">
            <v>1500000</v>
          </cell>
        </row>
        <row r="4622">
          <cell r="H4622">
            <v>1500000</v>
          </cell>
        </row>
        <row r="4623">
          <cell r="H4623">
            <v>1500000</v>
          </cell>
        </row>
        <row r="4624">
          <cell r="H4624">
            <v>1500000</v>
          </cell>
        </row>
        <row r="4625">
          <cell r="H4625">
            <v>2000000</v>
          </cell>
        </row>
        <row r="4628">
          <cell r="H4628">
            <v>3000000</v>
          </cell>
        </row>
        <row r="4631">
          <cell r="H4631">
            <v>5000000</v>
          </cell>
        </row>
        <row r="4635">
          <cell r="H4635">
            <v>1000000</v>
          </cell>
        </row>
        <row r="4640">
          <cell r="H4640">
            <v>919643</v>
          </cell>
        </row>
        <row r="4641">
          <cell r="H4641">
            <v>1500000</v>
          </cell>
        </row>
        <row r="4643">
          <cell r="H4643">
            <v>2500000</v>
          </cell>
        </row>
        <row r="4644">
          <cell r="H4644">
            <v>2500000</v>
          </cell>
        </row>
        <row r="4645">
          <cell r="H4645">
            <v>1860000</v>
          </cell>
        </row>
        <row r="4646">
          <cell r="H4646">
            <v>1000000</v>
          </cell>
        </row>
        <row r="4647">
          <cell r="H4647">
            <v>200000</v>
          </cell>
        </row>
        <row r="4649">
          <cell r="H4649">
            <v>1000000</v>
          </cell>
        </row>
        <row r="4650">
          <cell r="H4650">
            <v>4500000</v>
          </cell>
        </row>
        <row r="4651">
          <cell r="H4651">
            <v>1500000</v>
          </cell>
        </row>
        <row r="4652">
          <cell r="H4652">
            <v>2500000</v>
          </cell>
        </row>
        <row r="4653">
          <cell r="H4653">
            <v>1000000</v>
          </cell>
        </row>
        <row r="4654">
          <cell r="H4654">
            <v>1700000</v>
          </cell>
        </row>
        <row r="4656">
          <cell r="H4656">
            <v>1800000</v>
          </cell>
        </row>
        <row r="4670">
          <cell r="H4670">
            <v>1500000</v>
          </cell>
        </row>
        <row r="4671">
          <cell r="H4671">
            <v>1500000</v>
          </cell>
        </row>
        <row r="4673">
          <cell r="H4673">
            <v>1500000</v>
          </cell>
        </row>
        <row r="4674">
          <cell r="H4674">
            <v>1000000</v>
          </cell>
        </row>
        <row r="4675">
          <cell r="H4675">
            <v>2860000</v>
          </cell>
        </row>
        <row r="4676">
          <cell r="H4676">
            <v>2500000</v>
          </cell>
        </row>
        <row r="4677">
          <cell r="H4677">
            <v>2500000</v>
          </cell>
        </row>
        <row r="4678">
          <cell r="H4678">
            <v>2500000</v>
          </cell>
        </row>
        <row r="4680">
          <cell r="H4680">
            <v>1000000</v>
          </cell>
        </row>
        <row r="4681">
          <cell r="H4681">
            <v>1000000</v>
          </cell>
        </row>
        <row r="4682">
          <cell r="H4682">
            <v>1500000</v>
          </cell>
        </row>
        <row r="4684">
          <cell r="H4684">
            <v>1000000</v>
          </cell>
        </row>
        <row r="4685">
          <cell r="H4685">
            <v>344000</v>
          </cell>
        </row>
        <row r="4686">
          <cell r="H4686">
            <v>2400000</v>
          </cell>
        </row>
        <row r="4688">
          <cell r="H4688">
            <v>780000</v>
          </cell>
        </row>
        <row r="4690">
          <cell r="H4690">
            <v>116000</v>
          </cell>
        </row>
        <row r="4691">
          <cell r="H4691">
            <v>116000</v>
          </cell>
        </row>
        <row r="4692">
          <cell r="H4692">
            <v>1890000</v>
          </cell>
        </row>
        <row r="4693">
          <cell r="H4693">
            <v>1214286</v>
          </cell>
        </row>
        <row r="4694">
          <cell r="H4694">
            <v>8000000</v>
          </cell>
        </row>
        <row r="4703">
          <cell r="H4703">
            <v>16000000</v>
          </cell>
        </row>
        <row r="4722">
          <cell r="H4722">
            <v>919643</v>
          </cell>
        </row>
        <row r="4723">
          <cell r="H4723">
            <v>1280000</v>
          </cell>
        </row>
        <row r="4724">
          <cell r="H4724">
            <v>1500000</v>
          </cell>
        </row>
        <row r="4727">
          <cell r="H4727">
            <v>1000000</v>
          </cell>
        </row>
        <row r="4729">
          <cell r="H4729">
            <v>500000</v>
          </cell>
        </row>
        <row r="4732">
          <cell r="H4732">
            <v>2500000</v>
          </cell>
        </row>
        <row r="4738">
          <cell r="H4738">
            <v>700000</v>
          </cell>
        </row>
        <row r="4739">
          <cell r="H4739">
            <v>1000000</v>
          </cell>
        </row>
        <row r="4741">
          <cell r="H4741">
            <v>1000000</v>
          </cell>
        </row>
        <row r="4742">
          <cell r="H4742">
            <v>1000000</v>
          </cell>
        </row>
        <row r="4745">
          <cell r="H4745">
            <v>1364653</v>
          </cell>
        </row>
        <row r="4750">
          <cell r="H4750">
            <v>9725000</v>
          </cell>
        </row>
        <row r="4752">
          <cell r="K4752">
            <v>11524000</v>
          </cell>
        </row>
        <row r="4768">
          <cell r="H4768">
            <v>600000</v>
          </cell>
        </row>
        <row r="4769">
          <cell r="H4769">
            <v>428768</v>
          </cell>
        </row>
        <row r="4770">
          <cell r="H4770">
            <v>668837</v>
          </cell>
        </row>
        <row r="4771">
          <cell r="H4771">
            <v>1078738</v>
          </cell>
        </row>
        <row r="4772">
          <cell r="H4772">
            <v>1872613</v>
          </cell>
        </row>
        <row r="4773">
          <cell r="H4773">
            <v>714613</v>
          </cell>
        </row>
        <row r="4774">
          <cell r="H4774">
            <v>700000</v>
          </cell>
        </row>
        <row r="4775">
          <cell r="H4775">
            <v>460000</v>
          </cell>
        </row>
        <row r="4776">
          <cell r="H4776">
            <v>428768</v>
          </cell>
        </row>
        <row r="4777">
          <cell r="H4777">
            <v>495000</v>
          </cell>
        </row>
        <row r="4778">
          <cell r="H4778">
            <v>495000</v>
          </cell>
        </row>
        <row r="4779">
          <cell r="H4779">
            <v>316865</v>
          </cell>
        </row>
        <row r="4780">
          <cell r="H4780">
            <v>508768</v>
          </cell>
        </row>
        <row r="4781">
          <cell r="H4781">
            <v>508768</v>
          </cell>
        </row>
        <row r="4782">
          <cell r="H4782">
            <v>571690</v>
          </cell>
        </row>
        <row r="4783">
          <cell r="H4783">
            <v>3984120</v>
          </cell>
        </row>
        <row r="4786">
          <cell r="H4786">
            <v>915613</v>
          </cell>
        </row>
        <row r="4787">
          <cell r="H4787">
            <v>558768</v>
          </cell>
        </row>
        <row r="4788">
          <cell r="H4788">
            <v>20000000</v>
          </cell>
        </row>
        <row r="4790">
          <cell r="H4790">
            <v>1268654</v>
          </cell>
        </row>
        <row r="4791">
          <cell r="H4791">
            <v>713690</v>
          </cell>
        </row>
        <row r="4792">
          <cell r="H4792">
            <v>1189000</v>
          </cell>
        </row>
        <row r="4793">
          <cell r="H4793">
            <v>1555545</v>
          </cell>
        </row>
        <row r="4794">
          <cell r="H4794">
            <v>4300000</v>
          </cell>
        </row>
        <row r="4799">
          <cell r="H4799">
            <v>51175</v>
          </cell>
        </row>
        <row r="4801">
          <cell r="Z4801">
            <v>11685805</v>
          </cell>
        </row>
        <row r="4807">
          <cell r="H4807">
            <v>6357100</v>
          </cell>
        </row>
        <row r="4809">
          <cell r="Z4809">
            <v>15000000</v>
          </cell>
        </row>
        <row r="4896">
          <cell r="H4896">
            <v>133757865</v>
          </cell>
        </row>
        <row r="4898">
          <cell r="Z4898">
            <v>140288099</v>
          </cell>
        </row>
        <row r="4967">
          <cell r="H4967">
            <v>1091723311</v>
          </cell>
        </row>
        <row r="4969">
          <cell r="Y4969">
            <v>1157547927</v>
          </cell>
          <cell r="AG4969">
            <v>10000000</v>
          </cell>
        </row>
        <row r="4974">
          <cell r="H4974">
            <v>227623</v>
          </cell>
        </row>
        <row r="4975">
          <cell r="H4975">
            <v>227623</v>
          </cell>
        </row>
        <row r="5039">
          <cell r="H5039">
            <v>1000000</v>
          </cell>
        </row>
        <row r="5041">
          <cell r="H5041">
            <v>179936</v>
          </cell>
        </row>
        <row r="5042">
          <cell r="H5042">
            <v>179936</v>
          </cell>
        </row>
        <row r="5043">
          <cell r="H5043">
            <v>208920</v>
          </cell>
        </row>
        <row r="5059">
          <cell r="H5059">
            <v>537808</v>
          </cell>
        </row>
        <row r="5060">
          <cell r="H5060">
            <v>179936</v>
          </cell>
        </row>
        <row r="5061">
          <cell r="H5061">
            <v>1000000</v>
          </cell>
        </row>
        <row r="5072">
          <cell r="H5072">
            <v>553000</v>
          </cell>
        </row>
        <row r="5073">
          <cell r="H5073">
            <v>355872</v>
          </cell>
        </row>
        <row r="5075">
          <cell r="H5075">
            <v>1463749</v>
          </cell>
        </row>
        <row r="5076">
          <cell r="H5076">
            <v>208920</v>
          </cell>
        </row>
        <row r="5124">
          <cell r="H5124">
            <v>1399982</v>
          </cell>
        </row>
        <row r="5139">
          <cell r="H5139">
            <v>9623311</v>
          </cell>
        </row>
        <row r="5141">
          <cell r="AG5141">
            <v>9623311</v>
          </cell>
        </row>
        <row r="5168">
          <cell r="AG5168">
            <v>485380527</v>
          </cell>
        </row>
        <row r="5169">
          <cell r="H5169">
            <v>97000000</v>
          </cell>
        </row>
        <row r="5185">
          <cell r="H5185">
            <v>114274746</v>
          </cell>
        </row>
        <row r="5203">
          <cell r="H5203">
            <v>79999999</v>
          </cell>
        </row>
        <row r="5221">
          <cell r="H5221">
            <v>21600000</v>
          </cell>
        </row>
        <row r="5224">
          <cell r="H5224">
            <v>100000000</v>
          </cell>
        </row>
        <row r="5236">
          <cell r="H5236">
            <v>10000000</v>
          </cell>
        </row>
        <row r="5240">
          <cell r="H5240">
            <v>4980000</v>
          </cell>
        </row>
        <row r="5242">
          <cell r="H5242">
            <v>3800000</v>
          </cell>
        </row>
        <row r="5247">
          <cell r="H5247">
            <v>39700000</v>
          </cell>
        </row>
        <row r="5256">
          <cell r="H5256">
            <v>51900000</v>
          </cell>
        </row>
        <row r="5267">
          <cell r="H5267">
            <v>39544289</v>
          </cell>
        </row>
        <row r="5274">
          <cell r="K5274">
            <v>20000000</v>
          </cell>
          <cell r="Z5274">
            <v>8000000</v>
          </cell>
        </row>
        <row r="5281">
          <cell r="H5281">
            <v>59995772</v>
          </cell>
        </row>
        <row r="5291">
          <cell r="H5291">
            <v>3300000</v>
          </cell>
        </row>
        <row r="5294">
          <cell r="H5294">
            <v>220000</v>
          </cell>
        </row>
        <row r="5297">
          <cell r="H5297">
            <v>2999975</v>
          </cell>
        </row>
        <row r="5299">
          <cell r="H5299">
            <v>50000000</v>
          </cell>
        </row>
        <row r="5313">
          <cell r="H5313">
            <v>4265000</v>
          </cell>
        </row>
        <row r="5318">
          <cell r="H5318">
            <v>2700000</v>
          </cell>
        </row>
        <row r="5343">
          <cell r="H5343">
            <v>220606572</v>
          </cell>
        </row>
        <row r="5345">
          <cell r="K5345">
            <v>218312772</v>
          </cell>
          <cell r="AA5345">
            <v>29598160</v>
          </cell>
        </row>
        <row r="5772">
          <cell r="H5772">
            <v>78190378</v>
          </cell>
        </row>
        <row r="5774">
          <cell r="AB5774">
            <v>38756807</v>
          </cell>
        </row>
        <row r="5775">
          <cell r="H5775">
            <v>37916667</v>
          </cell>
        </row>
        <row r="5780">
          <cell r="H5780">
            <v>301760</v>
          </cell>
        </row>
        <row r="5782">
          <cell r="H5782">
            <v>948115</v>
          </cell>
        </row>
        <row r="5783">
          <cell r="H5783">
            <v>267029</v>
          </cell>
        </row>
        <row r="5815">
          <cell r="H5815">
            <v>48468760</v>
          </cell>
        </row>
        <row r="5817">
          <cell r="K5817">
            <v>48468760</v>
          </cell>
        </row>
        <row r="5838">
          <cell r="L5838">
            <v>114000000</v>
          </cell>
        </row>
        <row r="5846">
          <cell r="K5846">
            <v>200000000</v>
          </cell>
          <cell r="AB5846">
            <v>60000000</v>
          </cell>
        </row>
        <row r="5847">
          <cell r="H5847">
            <v>148798382</v>
          </cell>
        </row>
        <row r="5863">
          <cell r="H5863">
            <v>5000000</v>
          </cell>
        </row>
        <row r="5866">
          <cell r="H5866">
            <v>21193656</v>
          </cell>
        </row>
        <row r="5873">
          <cell r="H5873">
            <v>10572692</v>
          </cell>
        </row>
        <row r="5877">
          <cell r="H5877">
            <v>401246</v>
          </cell>
        </row>
        <row r="5879">
          <cell r="H5879">
            <v>401246</v>
          </cell>
        </row>
        <row r="5881">
          <cell r="H5881">
            <v>3710000</v>
          </cell>
        </row>
        <row r="5883">
          <cell r="H5883">
            <v>400000</v>
          </cell>
        </row>
        <row r="5884">
          <cell r="H5884">
            <v>3000000</v>
          </cell>
        </row>
        <row r="5887">
          <cell r="H5887">
            <v>300000</v>
          </cell>
        </row>
        <row r="5888">
          <cell r="H5888">
            <v>49696663</v>
          </cell>
        </row>
        <row r="5897">
          <cell r="H5897">
            <v>7999996</v>
          </cell>
        </row>
        <row r="5901">
          <cell r="H5901">
            <v>8988146</v>
          </cell>
        </row>
        <row r="5905">
          <cell r="H5905">
            <v>7999998</v>
          </cell>
        </row>
        <row r="5908">
          <cell r="H5908">
            <v>21529997</v>
          </cell>
        </row>
        <row r="5915">
          <cell r="H5915">
            <v>3080000</v>
          </cell>
        </row>
        <row r="5919">
          <cell r="H5919">
            <v>3080000</v>
          </cell>
        </row>
        <row r="5923">
          <cell r="H5923">
            <v>76034896</v>
          </cell>
        </row>
        <row r="5925">
          <cell r="AG5925">
            <v>91500718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02">
          <cell r="X1802">
            <v>1778728458</v>
          </cell>
        </row>
        <row r="2254">
          <cell r="H2254">
            <v>20133333</v>
          </cell>
        </row>
        <row r="2274">
          <cell r="Y2274">
            <v>16000000</v>
          </cell>
        </row>
        <row r="2299">
          <cell r="H2299">
            <v>13066666</v>
          </cell>
        </row>
        <row r="2379">
          <cell r="M2379">
            <v>20000000</v>
          </cell>
        </row>
        <row r="2395">
          <cell r="H2395">
            <v>16000000</v>
          </cell>
        </row>
        <row r="2421">
          <cell r="M2421">
            <v>16000000</v>
          </cell>
        </row>
        <row r="2584">
          <cell r="K2584">
            <v>6000000</v>
          </cell>
          <cell r="Y2584">
            <v>4000000</v>
          </cell>
        </row>
        <row r="2585">
          <cell r="H2585">
            <v>4000000</v>
          </cell>
        </row>
        <row r="2589">
          <cell r="H2589">
            <v>3550000</v>
          </cell>
        </row>
        <row r="2604">
          <cell r="AF2604">
            <v>7200000</v>
          </cell>
        </row>
        <row r="2648">
          <cell r="Y2648">
            <v>25000000</v>
          </cell>
        </row>
        <row r="2704">
          <cell r="Y2704">
            <v>5000000</v>
          </cell>
        </row>
        <row r="2745">
          <cell r="H2745">
            <v>9973333</v>
          </cell>
        </row>
        <row r="2753">
          <cell r="Z2753">
            <v>1666194</v>
          </cell>
        </row>
        <row r="3187">
          <cell r="K3187">
            <v>120000000</v>
          </cell>
          <cell r="Y3187">
            <v>18000000</v>
          </cell>
        </row>
        <row r="3507">
          <cell r="K3507">
            <v>24999998</v>
          </cell>
        </row>
        <row r="3533">
          <cell r="H3533">
            <v>11000000</v>
          </cell>
        </row>
        <row r="3535">
          <cell r="Y3535">
            <v>11000000</v>
          </cell>
        </row>
        <row r="3568">
          <cell r="AF3568">
            <v>16988146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63">
          <cell r="Y163">
            <v>107000000</v>
          </cell>
        </row>
        <row r="235">
          <cell r="H235">
            <v>27384000</v>
          </cell>
        </row>
        <row r="1827">
          <cell r="H1827">
            <v>4991333</v>
          </cell>
        </row>
        <row r="2278">
          <cell r="Z2278">
            <v>100000000</v>
          </cell>
        </row>
        <row r="2604">
          <cell r="Z2604">
            <v>52565530</v>
          </cell>
        </row>
        <row r="2879">
          <cell r="Z2879">
            <v>50000000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38"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1108">
          <cell r="Y1108">
            <v>15000000</v>
          </cell>
        </row>
        <row r="1158">
          <cell r="K1158">
            <v>80000000</v>
          </cell>
        </row>
        <row r="1183">
          <cell r="K1183">
            <v>39000000</v>
          </cell>
        </row>
        <row r="1706">
          <cell r="K1706">
            <v>39433571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25">
          <cell r="H25">
            <v>34069700</v>
          </cell>
        </row>
        <row r="80">
          <cell r="H80">
            <v>45956280</v>
          </cell>
        </row>
        <row r="125">
          <cell r="AF125">
            <v>4500000</v>
          </cell>
        </row>
        <row r="126">
          <cell r="H126">
            <v>280000</v>
          </cell>
        </row>
        <row r="322">
          <cell r="Y322">
            <v>42170000</v>
          </cell>
        </row>
        <row r="487">
          <cell r="AB487">
            <v>45000000</v>
          </cell>
        </row>
        <row r="617">
          <cell r="AB617">
            <v>49997500</v>
          </cell>
        </row>
        <row r="904">
          <cell r="T904">
            <v>10000000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9"/>
    </sheetNames>
    <sheetDataSet>
      <sheetData sheetId="0">
        <row r="18">
          <cell r="P18">
            <v>151775814</v>
          </cell>
          <cell r="S18">
            <v>483370228</v>
          </cell>
        </row>
        <row r="49">
          <cell r="S49">
            <v>54907320</v>
          </cell>
        </row>
        <row r="76">
          <cell r="H76">
            <v>19955896</v>
          </cell>
        </row>
        <row r="110">
          <cell r="Q110">
            <v>239000000</v>
          </cell>
          <cell r="AE110">
            <v>45956280</v>
          </cell>
        </row>
        <row r="137">
          <cell r="AE137">
            <v>123006604</v>
          </cell>
        </row>
        <row r="581">
          <cell r="H581">
            <v>40645000</v>
          </cell>
        </row>
        <row r="1163">
          <cell r="H1163">
            <v>15000000</v>
          </cell>
        </row>
        <row r="1506">
          <cell r="AA1506">
            <v>19997719</v>
          </cell>
        </row>
        <row r="1575">
          <cell r="H1575">
            <v>10000000</v>
          </cell>
        </row>
        <row r="2083">
          <cell r="AA2083">
            <v>159111624</v>
          </cell>
        </row>
        <row r="2263">
          <cell r="H2263">
            <v>23520775</v>
          </cell>
        </row>
        <row r="2265">
          <cell r="AA2265">
            <v>23520778</v>
          </cell>
        </row>
        <row r="2629">
          <cell r="K2629">
            <v>80000000</v>
          </cell>
        </row>
        <row r="2673">
          <cell r="H2673">
            <v>2959370</v>
          </cell>
        </row>
        <row r="2972">
          <cell r="H2972">
            <v>1500000</v>
          </cell>
        </row>
        <row r="2977">
          <cell r="H2977">
            <v>1700000</v>
          </cell>
        </row>
        <row r="2983">
          <cell r="H2983">
            <v>2200000</v>
          </cell>
        </row>
        <row r="3052">
          <cell r="Y3052">
            <v>5000000</v>
          </cell>
        </row>
        <row r="3058">
          <cell r="Y3058">
            <v>5000000</v>
          </cell>
        </row>
        <row r="3064">
          <cell r="Y3064">
            <v>5000000</v>
          </cell>
        </row>
        <row r="3175">
          <cell r="H3175">
            <v>94200000</v>
          </cell>
        </row>
        <row r="3331">
          <cell r="AA3331">
            <v>20000000</v>
          </cell>
        </row>
        <row r="3773">
          <cell r="Z3773">
            <v>29598160</v>
          </cell>
        </row>
        <row r="3983">
          <cell r="Y3983">
            <v>15000000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26">
          <cell r="V26">
            <v>3567404</v>
          </cell>
        </row>
        <row r="29">
          <cell r="H29">
            <v>3567404</v>
          </cell>
        </row>
        <row r="159">
          <cell r="Y159">
            <v>27000000</v>
          </cell>
        </row>
        <row r="965">
          <cell r="K965">
            <v>80000000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F158"/>
  <sheetViews>
    <sheetView showGridLines="0" zoomScaleNormal="100" zoomScalePageLayoutView="50" workbookViewId="0">
      <pane xSplit="3" ySplit="3" topLeftCell="BZ4" activePane="bottomRight" state="frozen"/>
      <selection activeCell="Z102" sqref="Z102"/>
      <selection pane="topRight" activeCell="Z102" sqref="Z102"/>
      <selection pane="bottomLeft" activeCell="Z102" sqref="Z102"/>
      <selection pane="bottomRight" activeCell="CE144" sqref="CE144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6.21875" customWidth="1"/>
    <col min="5" max="5" width="7" customWidth="1"/>
    <col min="6" max="6" width="13.109375" hidden="1" customWidth="1"/>
    <col min="7" max="7" width="14.21875" customWidth="1"/>
    <col min="8" max="8" width="12.109375" customWidth="1"/>
    <col min="9" max="9" width="13.44140625" customWidth="1"/>
    <col min="10" max="10" width="12" customWidth="1"/>
    <col min="11" max="11" width="12.77734375" customWidth="1"/>
    <col min="12" max="12" width="14" customWidth="1"/>
    <col min="13" max="14" width="12.33203125" customWidth="1"/>
    <col min="15" max="15" width="12.88671875" customWidth="1"/>
    <col min="16" max="16" width="12.44140625" customWidth="1"/>
    <col min="17" max="17" width="11" customWidth="1"/>
    <col min="18" max="18" width="11.44140625" customWidth="1"/>
    <col min="19" max="19" width="12" customWidth="1"/>
    <col min="20" max="21" width="11.109375" customWidth="1"/>
    <col min="22" max="22" width="11.6640625" customWidth="1"/>
    <col min="23" max="23" width="12.5546875" customWidth="1"/>
    <col min="24" max="24" width="12.33203125" customWidth="1"/>
    <col min="25" max="25" width="12.77734375" customWidth="1"/>
    <col min="26" max="26" width="13.109375" customWidth="1"/>
    <col min="27" max="27" width="12.6640625" customWidth="1"/>
    <col min="28" max="28" width="11.44140625" customWidth="1"/>
    <col min="29" max="29" width="12.44140625" customWidth="1"/>
    <col min="30" max="30" width="12.77734375" customWidth="1"/>
    <col min="31" max="31" width="8.33203125" customWidth="1"/>
    <col min="32" max="32" width="14.6640625" customWidth="1"/>
    <col min="33" max="33" width="13.5546875" customWidth="1"/>
    <col min="34" max="35" width="14" customWidth="1"/>
    <col min="36" max="36" width="14.77734375" customWidth="1"/>
    <col min="37" max="37" width="13.21875" customWidth="1"/>
    <col min="38" max="38" width="12.44140625" customWidth="1"/>
    <col min="39" max="39" width="12.109375" customWidth="1"/>
    <col min="40" max="40" width="12.44140625" customWidth="1"/>
    <col min="41" max="42" width="15" customWidth="1"/>
    <col min="43" max="43" width="11.6640625" customWidth="1"/>
    <col min="44" max="44" width="13.33203125" customWidth="1"/>
    <col min="45" max="45" width="12.5546875" customWidth="1"/>
    <col min="46" max="47" width="14.109375" customWidth="1"/>
    <col min="48" max="48" width="13.5546875" customWidth="1"/>
    <col min="49" max="49" width="13.44140625" customWidth="1"/>
    <col min="50" max="50" width="13" customWidth="1"/>
    <col min="51" max="52" width="13.44140625" customWidth="1"/>
    <col min="53" max="54" width="15.5546875" customWidth="1"/>
    <col min="55" max="55" width="13.88671875" customWidth="1"/>
    <col min="56" max="56" width="9" customWidth="1"/>
    <col min="57" max="57" width="14.88671875" customWidth="1"/>
    <col min="58" max="58" width="14.5546875" customWidth="1"/>
    <col min="59" max="59" width="16.5546875" customWidth="1"/>
    <col min="60" max="60" width="13.6640625" customWidth="1"/>
    <col min="61" max="61" width="14" customWidth="1"/>
    <col min="62" max="67" width="16.5546875" customWidth="1"/>
    <col min="68" max="68" width="15" customWidth="1"/>
    <col min="69" max="70" width="14.44140625" customWidth="1"/>
    <col min="71" max="71" width="16.5546875" customWidth="1"/>
    <col min="72" max="72" width="13.33203125" customWidth="1"/>
    <col min="73" max="73" width="13.44140625" customWidth="1"/>
    <col min="74" max="74" width="12.88671875" customWidth="1"/>
    <col min="75" max="79" width="16.5546875" customWidth="1"/>
    <col min="80" max="80" width="14" customWidth="1"/>
    <col min="81" max="81" width="10.33203125" customWidth="1"/>
    <col min="82" max="82" width="14.6640625" customWidth="1"/>
    <col min="83" max="83" width="12.33203125" customWidth="1"/>
    <col min="84" max="86" width="13.33203125" customWidth="1"/>
    <col min="87" max="88" width="14" customWidth="1"/>
    <col min="89" max="89" width="15.44140625" customWidth="1"/>
    <col min="90" max="92" width="13.5546875" customWidth="1"/>
    <col min="93" max="93" width="11.6640625" customWidth="1"/>
    <col min="94" max="94" width="13.44140625" customWidth="1"/>
    <col min="95" max="95" width="15.6640625" customWidth="1"/>
    <col min="96" max="97" width="16.33203125" customWidth="1"/>
    <col min="98" max="98" width="13.6640625" customWidth="1"/>
    <col min="99" max="99" width="13" customWidth="1"/>
    <col min="100" max="101" width="14.33203125" customWidth="1"/>
    <col min="102" max="102" width="13.6640625" customWidth="1"/>
    <col min="103" max="104" width="12.33203125" customWidth="1"/>
    <col min="105" max="105" width="13.44140625" customWidth="1"/>
    <col min="106" max="106" width="9.6640625" customWidth="1"/>
    <col min="107" max="107" width="15" customWidth="1"/>
    <col min="108" max="108" width="13.6640625" customWidth="1"/>
    <col min="109" max="109" width="14.44140625" customWidth="1"/>
    <col min="110" max="110" width="12.88671875" customWidth="1"/>
    <col min="111" max="111" width="14" customWidth="1"/>
    <col min="112" max="113" width="15.5546875" customWidth="1"/>
    <col min="114" max="114" width="14.44140625" customWidth="1"/>
    <col min="115" max="115" width="12.6640625" customWidth="1"/>
    <col min="116" max="117" width="13.5546875" customWidth="1"/>
    <col min="118" max="119" width="13.88671875" customWidth="1"/>
    <col min="120" max="120" width="13.6640625" customWidth="1"/>
    <col min="121" max="123" width="13.88671875" customWidth="1"/>
    <col min="124" max="124" width="13.33203125" customWidth="1"/>
    <col min="125" max="126" width="14.44140625" customWidth="1"/>
    <col min="127" max="127" width="14.88671875" customWidth="1"/>
    <col min="128" max="129" width="14.33203125" customWidth="1"/>
    <col min="130" max="130" width="13.5546875" customWidth="1"/>
    <col min="131" max="131" width="5.109375" customWidth="1"/>
    <col min="132" max="134" width="14.6640625" customWidth="1"/>
    <col min="135" max="135" width="2.109375" customWidth="1"/>
    <col min="136" max="136" width="17.44140625" customWidth="1"/>
    <col min="137" max="162" width="11.44140625" customWidth="1"/>
  </cols>
  <sheetData>
    <row r="1" spans="1:134" ht="15" hidden="1" customHeight="1" x14ac:dyDescent="0.35">
      <c r="C1" s="1" t="s">
        <v>0</v>
      </c>
      <c r="D1" s="2"/>
      <c r="E1" s="2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7"/>
      <c r="AF1" s="8" t="s">
        <v>2</v>
      </c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10"/>
      <c r="BD1" s="11"/>
      <c r="BE1" s="12"/>
      <c r="BF1" s="13" t="s">
        <v>3</v>
      </c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5"/>
      <c r="CD1" s="8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5"/>
      <c r="DB1" s="11"/>
      <c r="DC1" s="13" t="s">
        <v>3</v>
      </c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</row>
    <row r="2" spans="1:134" ht="15" hidden="1" customHeight="1" x14ac:dyDescent="0.3">
      <c r="A2" s="16" t="s">
        <v>4</v>
      </c>
      <c r="B2" s="16" t="s">
        <v>5</v>
      </c>
      <c r="C2" s="16" t="s">
        <v>6</v>
      </c>
      <c r="D2" s="16" t="s">
        <v>7</v>
      </c>
      <c r="E2" s="17" t="s">
        <v>8</v>
      </c>
      <c r="F2" s="16" t="s">
        <v>9</v>
      </c>
      <c r="G2" s="18" t="s">
        <v>10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9"/>
      <c r="AF2" s="20" t="s">
        <v>11</v>
      </c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2"/>
      <c r="BD2" s="23"/>
      <c r="BE2" s="24"/>
      <c r="BF2" s="25" t="s">
        <v>12</v>
      </c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5" t="s">
        <v>12</v>
      </c>
      <c r="BS2" s="26"/>
      <c r="BT2" s="26"/>
      <c r="BU2" s="26"/>
      <c r="BV2" s="26"/>
      <c r="BW2" s="26"/>
      <c r="BX2" s="26"/>
      <c r="BY2" s="26"/>
      <c r="BZ2" s="26"/>
      <c r="CA2" s="26"/>
      <c r="CB2" s="27"/>
      <c r="CC2" s="28"/>
      <c r="CD2" s="19"/>
      <c r="CE2" s="20" t="s">
        <v>13</v>
      </c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9"/>
      <c r="CS2" s="29"/>
      <c r="CT2" s="21"/>
      <c r="CU2" s="21"/>
      <c r="CV2" s="21"/>
      <c r="CW2" s="21"/>
      <c r="CX2" s="21"/>
      <c r="CY2" s="21"/>
      <c r="CZ2" s="21"/>
      <c r="DA2" s="22"/>
      <c r="DB2" s="30"/>
      <c r="DC2" s="25" t="s">
        <v>12</v>
      </c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 t="s">
        <v>12</v>
      </c>
      <c r="DQ2" s="26"/>
      <c r="DR2" s="26"/>
      <c r="DS2" s="26"/>
      <c r="DT2" s="26"/>
      <c r="DU2" s="26"/>
      <c r="DV2" s="26"/>
      <c r="DW2" s="26"/>
      <c r="DX2" s="26"/>
      <c r="DY2" s="26"/>
      <c r="DZ2" s="27"/>
    </row>
    <row r="3" spans="1:134" s="35" customFormat="1" ht="37.799999999999997" customHeight="1" x14ac:dyDescent="0.25">
      <c r="A3" s="16"/>
      <c r="B3" s="16"/>
      <c r="C3" s="16"/>
      <c r="D3" s="16"/>
      <c r="E3" s="17"/>
      <c r="F3" s="16"/>
      <c r="G3" s="31" t="s">
        <v>14</v>
      </c>
      <c r="H3" s="31" t="s">
        <v>15</v>
      </c>
      <c r="I3" s="31" t="s">
        <v>16</v>
      </c>
      <c r="J3" s="31" t="s">
        <v>17</v>
      </c>
      <c r="K3" s="31" t="s">
        <v>18</v>
      </c>
      <c r="L3" s="31" t="s">
        <v>19</v>
      </c>
      <c r="M3" s="31" t="s">
        <v>20</v>
      </c>
      <c r="N3" s="31" t="s">
        <v>21</v>
      </c>
      <c r="O3" s="31" t="s">
        <v>22</v>
      </c>
      <c r="P3" s="31" t="s">
        <v>23</v>
      </c>
      <c r="Q3" s="31" t="s">
        <v>24</v>
      </c>
      <c r="R3" s="31" t="s">
        <v>25</v>
      </c>
      <c r="S3" s="31" t="s">
        <v>26</v>
      </c>
      <c r="T3" s="31" t="s">
        <v>27</v>
      </c>
      <c r="U3" s="31" t="s">
        <v>28</v>
      </c>
      <c r="V3" s="31" t="s">
        <v>29</v>
      </c>
      <c r="W3" s="31" t="s">
        <v>30</v>
      </c>
      <c r="X3" s="31" t="s">
        <v>31</v>
      </c>
      <c r="Y3" s="31" t="s">
        <v>32</v>
      </c>
      <c r="Z3" s="31" t="s">
        <v>33</v>
      </c>
      <c r="AA3" s="31" t="s">
        <v>34</v>
      </c>
      <c r="AB3" s="31" t="s">
        <v>35</v>
      </c>
      <c r="AC3" s="31" t="s">
        <v>36</v>
      </c>
      <c r="AD3" s="31" t="s">
        <v>37</v>
      </c>
      <c r="AE3" s="32" t="s">
        <v>38</v>
      </c>
      <c r="AF3" s="33" t="s">
        <v>14</v>
      </c>
      <c r="AG3" s="33" t="s">
        <v>15</v>
      </c>
      <c r="AH3" s="33" t="s">
        <v>16</v>
      </c>
      <c r="AI3" s="33" t="s">
        <v>17</v>
      </c>
      <c r="AJ3" s="33" t="s">
        <v>18</v>
      </c>
      <c r="AK3" s="33" t="s">
        <v>19</v>
      </c>
      <c r="AL3" s="33" t="s">
        <v>20</v>
      </c>
      <c r="AM3" s="33" t="s">
        <v>21</v>
      </c>
      <c r="AN3" s="33" t="s">
        <v>22</v>
      </c>
      <c r="AO3" s="33" t="s">
        <v>23</v>
      </c>
      <c r="AP3" s="33" t="s">
        <v>24</v>
      </c>
      <c r="AQ3" s="33" t="s">
        <v>25</v>
      </c>
      <c r="AR3" s="33" t="s">
        <v>26</v>
      </c>
      <c r="AS3" s="33" t="s">
        <v>27</v>
      </c>
      <c r="AT3" s="33" t="s">
        <v>28</v>
      </c>
      <c r="AU3" s="33" t="s">
        <v>29</v>
      </c>
      <c r="AV3" s="33" t="s">
        <v>30</v>
      </c>
      <c r="AW3" s="33" t="s">
        <v>31</v>
      </c>
      <c r="AX3" s="33" t="s">
        <v>32</v>
      </c>
      <c r="AY3" s="33" t="s">
        <v>33</v>
      </c>
      <c r="AZ3" s="33" t="s">
        <v>34</v>
      </c>
      <c r="BA3" s="33" t="s">
        <v>35</v>
      </c>
      <c r="BB3" s="33" t="s">
        <v>36</v>
      </c>
      <c r="BC3" s="33" t="s">
        <v>37</v>
      </c>
      <c r="BD3" s="34" t="s">
        <v>38</v>
      </c>
      <c r="BE3" s="30" t="s">
        <v>14</v>
      </c>
      <c r="BF3" s="30" t="s">
        <v>15</v>
      </c>
      <c r="BG3" s="30" t="s">
        <v>16</v>
      </c>
      <c r="BH3" s="30" t="s">
        <v>39</v>
      </c>
      <c r="BI3" s="30" t="s">
        <v>18</v>
      </c>
      <c r="BJ3" s="30" t="s">
        <v>19</v>
      </c>
      <c r="BK3" s="30" t="s">
        <v>20</v>
      </c>
      <c r="BL3" s="30" t="s">
        <v>21</v>
      </c>
      <c r="BM3" s="30" t="s">
        <v>22</v>
      </c>
      <c r="BN3" s="30" t="s">
        <v>23</v>
      </c>
      <c r="BO3" s="30" t="s">
        <v>24</v>
      </c>
      <c r="BP3" s="30" t="s">
        <v>25</v>
      </c>
      <c r="BQ3" s="30" t="s">
        <v>26</v>
      </c>
      <c r="BR3" s="30" t="s">
        <v>27</v>
      </c>
      <c r="BS3" s="30" t="s">
        <v>28</v>
      </c>
      <c r="BT3" s="30" t="s">
        <v>29</v>
      </c>
      <c r="BU3" s="30" t="s">
        <v>30</v>
      </c>
      <c r="BV3" s="30" t="s">
        <v>31</v>
      </c>
      <c r="BW3" s="30" t="s">
        <v>32</v>
      </c>
      <c r="BX3" s="30" t="s">
        <v>33</v>
      </c>
      <c r="BY3" s="30" t="s">
        <v>34</v>
      </c>
      <c r="BZ3" s="30" t="s">
        <v>35</v>
      </c>
      <c r="CA3" s="30" t="s">
        <v>36</v>
      </c>
      <c r="CB3" s="30" t="s">
        <v>37</v>
      </c>
      <c r="CC3" s="32" t="s">
        <v>38</v>
      </c>
      <c r="CD3" s="33" t="s">
        <v>14</v>
      </c>
      <c r="CE3" s="33" t="s">
        <v>15</v>
      </c>
      <c r="CF3" s="33" t="s">
        <v>16</v>
      </c>
      <c r="CG3" s="33" t="s">
        <v>39</v>
      </c>
      <c r="CH3" s="33" t="s">
        <v>18</v>
      </c>
      <c r="CI3" s="33" t="s">
        <v>19</v>
      </c>
      <c r="CJ3" s="33" t="s">
        <v>20</v>
      </c>
      <c r="CK3" s="33" t="s">
        <v>21</v>
      </c>
      <c r="CL3" s="33" t="s">
        <v>22</v>
      </c>
      <c r="CM3" s="33" t="s">
        <v>23</v>
      </c>
      <c r="CN3" s="33" t="s">
        <v>24</v>
      </c>
      <c r="CO3" s="33" t="s">
        <v>25</v>
      </c>
      <c r="CP3" s="33" t="s">
        <v>26</v>
      </c>
      <c r="CQ3" s="33" t="s">
        <v>27</v>
      </c>
      <c r="CR3" s="33" t="s">
        <v>28</v>
      </c>
      <c r="CS3" s="33" t="s">
        <v>29</v>
      </c>
      <c r="CT3" s="33" t="s">
        <v>30</v>
      </c>
      <c r="CU3" s="33" t="s">
        <v>31</v>
      </c>
      <c r="CV3" s="33" t="s">
        <v>32</v>
      </c>
      <c r="CW3" s="33" t="s">
        <v>33</v>
      </c>
      <c r="CX3" s="33" t="s">
        <v>34</v>
      </c>
      <c r="CY3" s="33" t="s">
        <v>35</v>
      </c>
      <c r="CZ3" s="33" t="s">
        <v>36</v>
      </c>
      <c r="DA3" s="33" t="s">
        <v>37</v>
      </c>
      <c r="DB3" s="30" t="s">
        <v>38</v>
      </c>
      <c r="DC3" s="30" t="s">
        <v>14</v>
      </c>
      <c r="DD3" s="30" t="s">
        <v>15</v>
      </c>
      <c r="DE3" s="30" t="s">
        <v>16</v>
      </c>
      <c r="DF3" s="30" t="s">
        <v>39</v>
      </c>
      <c r="DG3" s="30" t="s">
        <v>18</v>
      </c>
      <c r="DH3" s="30" t="s">
        <v>19</v>
      </c>
      <c r="DI3" s="30" t="s">
        <v>20</v>
      </c>
      <c r="DJ3" s="30" t="s">
        <v>21</v>
      </c>
      <c r="DK3" s="30" t="s">
        <v>22</v>
      </c>
      <c r="DL3" s="30" t="s">
        <v>23</v>
      </c>
      <c r="DM3" s="30" t="s">
        <v>24</v>
      </c>
      <c r="DN3" s="30" t="s">
        <v>25</v>
      </c>
      <c r="DO3" s="30" t="s">
        <v>26</v>
      </c>
      <c r="DP3" s="30" t="s">
        <v>27</v>
      </c>
      <c r="DQ3" s="30" t="s">
        <v>28</v>
      </c>
      <c r="DR3" s="30" t="s">
        <v>29</v>
      </c>
      <c r="DS3" s="30" t="s">
        <v>30</v>
      </c>
      <c r="DT3" s="30" t="s">
        <v>31</v>
      </c>
      <c r="DU3" s="30" t="s">
        <v>32</v>
      </c>
      <c r="DV3" s="30" t="s">
        <v>33</v>
      </c>
      <c r="DW3" s="30" t="s">
        <v>34</v>
      </c>
      <c r="DX3" s="30" t="s">
        <v>35</v>
      </c>
      <c r="DY3" s="30" t="s">
        <v>36</v>
      </c>
      <c r="DZ3" s="30" t="s">
        <v>37</v>
      </c>
      <c r="EB3" s="35" t="s">
        <v>40</v>
      </c>
      <c r="EC3" s="35" t="s">
        <v>41</v>
      </c>
      <c r="ED3" s="35" t="s">
        <v>42</v>
      </c>
    </row>
    <row r="4" spans="1:134" ht="44.4" customHeight="1" x14ac:dyDescent="0.3">
      <c r="A4" s="36" t="s">
        <v>43</v>
      </c>
      <c r="B4" s="37" t="s">
        <v>44</v>
      </c>
      <c r="C4" s="38" t="s">
        <v>45</v>
      </c>
      <c r="D4" s="39" t="s">
        <v>46</v>
      </c>
      <c r="E4" s="40">
        <v>510</v>
      </c>
      <c r="F4" s="41" t="s">
        <v>47</v>
      </c>
      <c r="G4" s="42">
        <f t="shared" ref="G4:G38" si="0">SUM(H4:AD4)</f>
        <v>71000000</v>
      </c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>
        <v>35000000</v>
      </c>
      <c r="Y4" s="42"/>
      <c r="Z4" s="42"/>
      <c r="AA4" s="42"/>
      <c r="AB4" s="42"/>
      <c r="AC4" s="42"/>
      <c r="AD4" s="42">
        <f>30000000+5000000+5000000-4000000</f>
        <v>36000000</v>
      </c>
      <c r="AE4" s="43">
        <f t="shared" ref="AE4:AE15" si="1">+AF4/G4</f>
        <v>0.95115883098591547</v>
      </c>
      <c r="AF4" s="42">
        <f t="shared" ref="AF4:AF16" si="2">SUM(AG4:BC4)</f>
        <v>67532277</v>
      </c>
      <c r="AG4" s="44"/>
      <c r="AH4" s="42"/>
      <c r="AI4" s="45"/>
      <c r="AJ4" s="45"/>
      <c r="AK4" s="44"/>
      <c r="AL4" s="44"/>
      <c r="AM4" s="42"/>
      <c r="AN4" s="46"/>
      <c r="AO4" s="46"/>
      <c r="AP4" s="46"/>
      <c r="AQ4" s="46"/>
      <c r="AR4" s="46"/>
      <c r="AS4" s="46"/>
      <c r="AT4" s="46"/>
      <c r="AU4" s="46"/>
      <c r="AV4" s="42"/>
      <c r="AW4" s="42">
        <f>+'[1]OCTUBRE 2019'!$Z$3304</f>
        <v>34949989</v>
      </c>
      <c r="AX4" s="42"/>
      <c r="AY4" s="42"/>
      <c r="AZ4" s="42"/>
      <c r="BA4" s="42"/>
      <c r="BB4" s="42"/>
      <c r="BC4" s="42">
        <f>+'[2]SEPTIEMBRE 2019'!$AG$2922</f>
        <v>32582288</v>
      </c>
      <c r="BD4" s="43">
        <f t="shared" ref="BD4:BD67" si="3">1-AE4</f>
        <v>4.8841169014084529E-2</v>
      </c>
      <c r="BE4" s="42">
        <f t="shared" ref="BE4:BE38" si="4">SUM(BF4:CB4)</f>
        <v>3467723</v>
      </c>
      <c r="BF4" s="42">
        <f t="shared" ref="BF4:BH8" si="5">H4-AG4</f>
        <v>0</v>
      </c>
      <c r="BG4" s="42">
        <f t="shared" si="5"/>
        <v>0</v>
      </c>
      <c r="BH4" s="42">
        <f t="shared" si="5"/>
        <v>0</v>
      </c>
      <c r="BI4" s="42"/>
      <c r="BJ4" s="42">
        <f t="shared" ref="BJ4:BY8" si="6">L4-AK4</f>
        <v>0</v>
      </c>
      <c r="BK4" s="42">
        <f t="shared" si="6"/>
        <v>0</v>
      </c>
      <c r="BL4" s="42">
        <f t="shared" si="6"/>
        <v>0</v>
      </c>
      <c r="BM4" s="42">
        <f t="shared" si="6"/>
        <v>0</v>
      </c>
      <c r="BN4" s="42">
        <f t="shared" si="6"/>
        <v>0</v>
      </c>
      <c r="BO4" s="42">
        <f t="shared" si="6"/>
        <v>0</v>
      </c>
      <c r="BP4" s="42">
        <f t="shared" si="6"/>
        <v>0</v>
      </c>
      <c r="BQ4" s="42">
        <f t="shared" si="6"/>
        <v>0</v>
      </c>
      <c r="BR4" s="42">
        <f t="shared" si="6"/>
        <v>0</v>
      </c>
      <c r="BS4" s="42">
        <f t="shared" si="6"/>
        <v>0</v>
      </c>
      <c r="BT4" s="42">
        <f t="shared" si="6"/>
        <v>0</v>
      </c>
      <c r="BU4" s="42">
        <f t="shared" si="6"/>
        <v>0</v>
      </c>
      <c r="BV4" s="42">
        <f t="shared" si="6"/>
        <v>50011</v>
      </c>
      <c r="BW4" s="42">
        <f t="shared" si="6"/>
        <v>0</v>
      </c>
      <c r="BX4" s="42">
        <f t="shared" si="6"/>
        <v>0</v>
      </c>
      <c r="BY4" s="42">
        <f t="shared" si="6"/>
        <v>0</v>
      </c>
      <c r="BZ4" s="42">
        <f t="shared" ref="BT4:CB13" si="7">AB4-BA4</f>
        <v>0</v>
      </c>
      <c r="CA4" s="42"/>
      <c r="CB4" s="42">
        <f>AD4-BC4</f>
        <v>3417712</v>
      </c>
      <c r="CC4" s="43">
        <f t="shared" ref="CC4:CC67" si="8">+CD4/G4</f>
        <v>0.94456436619718309</v>
      </c>
      <c r="CD4" s="42">
        <f t="shared" ref="CD4:CD38" si="9">SUM(CE4:DA4)</f>
        <v>67064070</v>
      </c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>
        <f>+'[1]OCTUBRE 2019'!$H$3305+'[1]OCTUBRE 2019'!$H$3317+'[1]OCTUBRE 2019'!$H$3318+'[1]OCTUBRE 2019'!$H$3319+'[1]OCTUBRE 2019'!$H$3320+'[1]OCTUBRE 2019'!$H$3321+'[1]OCTUBRE 2019'!$H$3328+'[1]OCTUBRE 2019'!$H$3338</f>
        <v>34934861</v>
      </c>
      <c r="CV4" s="42"/>
      <c r="CW4" s="42"/>
      <c r="CX4" s="42"/>
      <c r="CY4" s="42"/>
      <c r="CZ4" s="42"/>
      <c r="DA4" s="42">
        <f>+'[1]OCTUBRE 2019'!$H$3315+'[1]OCTUBRE 2019'!$H$3322+'[1]OCTUBRE 2019'!$H$3323+'[1]OCTUBRE 2019'!$H$3324+'[1]OCTUBRE 2019'!$H$3326+'[1]OCTUBRE 2019'!$H$3327+'[1]OCTUBRE 2019'!$H$3329+'[1]OCTUBRE 2019'!$H$3331+'[1]OCTUBRE 2019'!$H$3332+'[1]OCTUBRE 2019'!$H$3333+'[1]OCTUBRE 2019'!$H$3336+'[1]OCTUBRE 2019'!$H$3337</f>
        <v>32129209</v>
      </c>
      <c r="DB4" s="43">
        <f t="shared" ref="DB4:DB67" si="10">1-CC4</f>
        <v>5.5435633802816908E-2</v>
      </c>
      <c r="DC4" s="42">
        <f t="shared" ref="DC4:DC38" si="11">SUM(DD4:DZ4)</f>
        <v>3935930</v>
      </c>
      <c r="DD4" s="42">
        <f t="shared" ref="DD4:DS19" si="12">H4-CE4</f>
        <v>0</v>
      </c>
      <c r="DE4" s="42">
        <f t="shared" si="12"/>
        <v>0</v>
      </c>
      <c r="DF4" s="42">
        <f t="shared" si="12"/>
        <v>0</v>
      </c>
      <c r="DG4" s="42">
        <f t="shared" si="12"/>
        <v>0</v>
      </c>
      <c r="DH4" s="42">
        <f t="shared" si="12"/>
        <v>0</v>
      </c>
      <c r="DI4" s="42">
        <f t="shared" si="12"/>
        <v>0</v>
      </c>
      <c r="DJ4" s="42">
        <f t="shared" si="12"/>
        <v>0</v>
      </c>
      <c r="DK4" s="42">
        <f t="shared" si="12"/>
        <v>0</v>
      </c>
      <c r="DL4" s="42">
        <f t="shared" si="12"/>
        <v>0</v>
      </c>
      <c r="DM4" s="42">
        <f t="shared" si="12"/>
        <v>0</v>
      </c>
      <c r="DN4" s="42">
        <f t="shared" si="12"/>
        <v>0</v>
      </c>
      <c r="DO4" s="42">
        <f t="shared" si="12"/>
        <v>0</v>
      </c>
      <c r="DP4" s="42">
        <f t="shared" si="12"/>
        <v>0</v>
      </c>
      <c r="DQ4" s="42">
        <f t="shared" si="12"/>
        <v>0</v>
      </c>
      <c r="DR4" s="42">
        <f t="shared" si="12"/>
        <v>0</v>
      </c>
      <c r="DS4" s="42">
        <f t="shared" si="12"/>
        <v>0</v>
      </c>
      <c r="DT4" s="42">
        <f t="shared" ref="DT4:DX13" si="13">X4-CU4</f>
        <v>65139</v>
      </c>
      <c r="DU4" s="42">
        <f t="shared" si="13"/>
        <v>0</v>
      </c>
      <c r="DV4" s="42">
        <f t="shared" si="13"/>
        <v>0</v>
      </c>
      <c r="DW4" s="42">
        <f t="shared" si="13"/>
        <v>0</v>
      </c>
      <c r="DX4" s="42">
        <f t="shared" si="13"/>
        <v>0</v>
      </c>
      <c r="DY4" s="42"/>
      <c r="DZ4" s="42">
        <f t="shared" ref="DZ4:DZ13" si="14">AD4-DA4</f>
        <v>3870791</v>
      </c>
      <c r="EB4" s="47">
        <f t="shared" ref="EB4:EB67" si="15">+G4</f>
        <v>71000000</v>
      </c>
      <c r="EC4" s="47">
        <f t="shared" ref="EC4:EC67" si="16">+AF4+BE4</f>
        <v>71000000</v>
      </c>
      <c r="ED4" s="47">
        <f t="shared" ref="ED4:ED67" si="17">+CD4+DC4</f>
        <v>71000000</v>
      </c>
    </row>
    <row r="5" spans="1:134" ht="60" customHeight="1" x14ac:dyDescent="0.3">
      <c r="A5" s="48"/>
      <c r="B5" s="49"/>
      <c r="C5" s="38" t="s">
        <v>48</v>
      </c>
      <c r="D5" s="39" t="s">
        <v>49</v>
      </c>
      <c r="E5" s="40">
        <v>510</v>
      </c>
      <c r="F5" s="41" t="s">
        <v>50</v>
      </c>
      <c r="G5" s="42">
        <f t="shared" si="0"/>
        <v>20000000</v>
      </c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>
        <v>20000000</v>
      </c>
      <c r="Y5" s="42"/>
      <c r="Z5" s="42"/>
      <c r="AA5" s="42"/>
      <c r="AB5" s="42"/>
      <c r="AC5" s="42"/>
      <c r="AD5" s="42"/>
      <c r="AE5" s="43">
        <f t="shared" si="1"/>
        <v>1</v>
      </c>
      <c r="AF5" s="42">
        <f t="shared" si="2"/>
        <v>20000000</v>
      </c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>
        <f>+'[2]SEPTIEMBRE 2019'!$Z$2967</f>
        <v>20000000</v>
      </c>
      <c r="AX5" s="42"/>
      <c r="AY5" s="42"/>
      <c r="AZ5" s="42"/>
      <c r="BA5" s="42"/>
      <c r="BB5" s="42"/>
      <c r="BC5" s="42"/>
      <c r="BD5" s="43">
        <f t="shared" si="3"/>
        <v>0</v>
      </c>
      <c r="BE5" s="42">
        <f t="shared" si="4"/>
        <v>0</v>
      </c>
      <c r="BF5" s="42">
        <f t="shared" si="5"/>
        <v>0</v>
      </c>
      <c r="BG5" s="42">
        <f t="shared" si="5"/>
        <v>0</v>
      </c>
      <c r="BH5" s="42">
        <f t="shared" si="5"/>
        <v>0</v>
      </c>
      <c r="BI5" s="42"/>
      <c r="BJ5" s="42">
        <f t="shared" si="6"/>
        <v>0</v>
      </c>
      <c r="BK5" s="42">
        <f t="shared" si="6"/>
        <v>0</v>
      </c>
      <c r="BL5" s="42">
        <f t="shared" si="6"/>
        <v>0</v>
      </c>
      <c r="BM5" s="42">
        <f t="shared" si="6"/>
        <v>0</v>
      </c>
      <c r="BN5" s="42">
        <f t="shared" si="6"/>
        <v>0</v>
      </c>
      <c r="BO5" s="42">
        <f t="shared" si="6"/>
        <v>0</v>
      </c>
      <c r="BP5" s="42">
        <f t="shared" si="6"/>
        <v>0</v>
      </c>
      <c r="BQ5" s="42">
        <f t="shared" si="6"/>
        <v>0</v>
      </c>
      <c r="BR5" s="42">
        <f t="shared" si="6"/>
        <v>0</v>
      </c>
      <c r="BS5" s="42">
        <f t="shared" si="6"/>
        <v>0</v>
      </c>
      <c r="BT5" s="42">
        <f t="shared" si="7"/>
        <v>0</v>
      </c>
      <c r="BU5" s="42">
        <f t="shared" si="7"/>
        <v>0</v>
      </c>
      <c r="BV5" s="42">
        <f t="shared" si="7"/>
        <v>0</v>
      </c>
      <c r="BW5" s="42">
        <f t="shared" si="7"/>
        <v>0</v>
      </c>
      <c r="BX5" s="42">
        <f t="shared" si="7"/>
        <v>0</v>
      </c>
      <c r="BY5" s="42">
        <f t="shared" si="7"/>
        <v>0</v>
      </c>
      <c r="BZ5" s="42">
        <f t="shared" si="7"/>
        <v>0</v>
      </c>
      <c r="CA5" s="42"/>
      <c r="CB5" s="42">
        <f>AD5-BC5</f>
        <v>0</v>
      </c>
      <c r="CC5" s="43">
        <f t="shared" si="8"/>
        <v>1</v>
      </c>
      <c r="CD5" s="42">
        <f t="shared" si="9"/>
        <v>20000000</v>
      </c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>
        <f>+'[1]OCTUBRE 2019'!$H$3347</f>
        <v>20000000</v>
      </c>
      <c r="CV5" s="42"/>
      <c r="CW5" s="42"/>
      <c r="CX5" s="42"/>
      <c r="CY5" s="42"/>
      <c r="CZ5" s="42"/>
      <c r="DA5" s="42"/>
      <c r="DB5" s="43">
        <f t="shared" si="10"/>
        <v>0</v>
      </c>
      <c r="DC5" s="42">
        <f t="shared" si="11"/>
        <v>0</v>
      </c>
      <c r="DD5" s="42">
        <f t="shared" si="12"/>
        <v>0</v>
      </c>
      <c r="DE5" s="42">
        <f t="shared" si="12"/>
        <v>0</v>
      </c>
      <c r="DF5" s="42">
        <f t="shared" si="12"/>
        <v>0</v>
      </c>
      <c r="DG5" s="42">
        <f t="shared" si="12"/>
        <v>0</v>
      </c>
      <c r="DH5" s="42">
        <f t="shared" si="12"/>
        <v>0</v>
      </c>
      <c r="DI5" s="42">
        <f t="shared" si="12"/>
        <v>0</v>
      </c>
      <c r="DJ5" s="42">
        <f t="shared" si="12"/>
        <v>0</v>
      </c>
      <c r="DK5" s="42">
        <f t="shared" si="12"/>
        <v>0</v>
      </c>
      <c r="DL5" s="42">
        <f t="shared" si="12"/>
        <v>0</v>
      </c>
      <c r="DM5" s="42">
        <f t="shared" si="12"/>
        <v>0</v>
      </c>
      <c r="DN5" s="42">
        <f t="shared" si="12"/>
        <v>0</v>
      </c>
      <c r="DO5" s="42">
        <f t="shared" si="12"/>
        <v>0</v>
      </c>
      <c r="DP5" s="42">
        <f t="shared" si="12"/>
        <v>0</v>
      </c>
      <c r="DQ5" s="42">
        <f t="shared" si="12"/>
        <v>0</v>
      </c>
      <c r="DR5" s="42">
        <f t="shared" si="12"/>
        <v>0</v>
      </c>
      <c r="DS5" s="42">
        <f t="shared" si="12"/>
        <v>0</v>
      </c>
      <c r="DT5" s="42">
        <f t="shared" si="13"/>
        <v>0</v>
      </c>
      <c r="DU5" s="42">
        <f t="shared" si="13"/>
        <v>0</v>
      </c>
      <c r="DV5" s="42">
        <f t="shared" si="13"/>
        <v>0</v>
      </c>
      <c r="DW5" s="42">
        <f t="shared" si="13"/>
        <v>0</v>
      </c>
      <c r="DX5" s="42">
        <f t="shared" si="13"/>
        <v>0</v>
      </c>
      <c r="DY5" s="42"/>
      <c r="DZ5" s="42">
        <f t="shared" si="14"/>
        <v>0</v>
      </c>
      <c r="EB5" s="47">
        <f t="shared" si="15"/>
        <v>20000000</v>
      </c>
      <c r="EC5" s="47">
        <f t="shared" si="16"/>
        <v>20000000</v>
      </c>
      <c r="ED5" s="47">
        <f t="shared" si="17"/>
        <v>20000000</v>
      </c>
    </row>
    <row r="6" spans="1:134" ht="32.4" customHeight="1" x14ac:dyDescent="0.3">
      <c r="A6" s="48"/>
      <c r="B6" s="49"/>
      <c r="C6" s="38" t="s">
        <v>51</v>
      </c>
      <c r="D6" s="39" t="s">
        <v>52</v>
      </c>
      <c r="E6" s="40">
        <v>510</v>
      </c>
      <c r="F6" s="41" t="s">
        <v>53</v>
      </c>
      <c r="G6" s="42">
        <f t="shared" si="0"/>
        <v>25000000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>
        <v>25000000</v>
      </c>
      <c r="Y6" s="42"/>
      <c r="Z6" s="42"/>
      <c r="AA6" s="42"/>
      <c r="AB6" s="42"/>
      <c r="AC6" s="42"/>
      <c r="AD6" s="42"/>
      <c r="AE6" s="43">
        <f t="shared" si="1"/>
        <v>1</v>
      </c>
      <c r="AF6" s="42">
        <f t="shared" si="2"/>
        <v>25000000</v>
      </c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>
        <f>+'[2]SEPTIEMBRE 2019'!$Z$2981</f>
        <v>25000000</v>
      </c>
      <c r="AX6" s="42"/>
      <c r="AY6" s="42"/>
      <c r="AZ6" s="42"/>
      <c r="BA6" s="42"/>
      <c r="BB6" s="42"/>
      <c r="BC6" s="42"/>
      <c r="BD6" s="43">
        <f t="shared" si="3"/>
        <v>0</v>
      </c>
      <c r="BE6" s="42">
        <f t="shared" si="4"/>
        <v>0</v>
      </c>
      <c r="BF6" s="42">
        <f t="shared" si="5"/>
        <v>0</v>
      </c>
      <c r="BG6" s="42">
        <f t="shared" si="5"/>
        <v>0</v>
      </c>
      <c r="BH6" s="42">
        <f t="shared" si="5"/>
        <v>0</v>
      </c>
      <c r="BI6" s="42"/>
      <c r="BJ6" s="42">
        <f t="shared" si="6"/>
        <v>0</v>
      </c>
      <c r="BK6" s="42">
        <f t="shared" si="6"/>
        <v>0</v>
      </c>
      <c r="BL6" s="42">
        <f t="shared" si="6"/>
        <v>0</v>
      </c>
      <c r="BM6" s="42">
        <f t="shared" si="6"/>
        <v>0</v>
      </c>
      <c r="BN6" s="42">
        <f t="shared" si="6"/>
        <v>0</v>
      </c>
      <c r="BO6" s="42">
        <f t="shared" si="6"/>
        <v>0</v>
      </c>
      <c r="BP6" s="42">
        <f t="shared" si="6"/>
        <v>0</v>
      </c>
      <c r="BQ6" s="42">
        <f t="shared" si="6"/>
        <v>0</v>
      </c>
      <c r="BR6" s="42">
        <f t="shared" si="6"/>
        <v>0</v>
      </c>
      <c r="BS6" s="42">
        <f t="shared" si="6"/>
        <v>0</v>
      </c>
      <c r="BT6" s="42">
        <f t="shared" si="7"/>
        <v>0</v>
      </c>
      <c r="BU6" s="42">
        <f t="shared" si="7"/>
        <v>0</v>
      </c>
      <c r="BV6" s="42">
        <f t="shared" si="7"/>
        <v>0</v>
      </c>
      <c r="BW6" s="42">
        <f t="shared" si="7"/>
        <v>0</v>
      </c>
      <c r="BX6" s="42">
        <f t="shared" si="7"/>
        <v>0</v>
      </c>
      <c r="BY6" s="42">
        <f t="shared" si="7"/>
        <v>0</v>
      </c>
      <c r="BZ6" s="42">
        <f t="shared" si="7"/>
        <v>0</v>
      </c>
      <c r="CA6" s="42"/>
      <c r="CB6" s="42">
        <f>AD6-BC6</f>
        <v>0</v>
      </c>
      <c r="CC6" s="43">
        <f t="shared" si="8"/>
        <v>1</v>
      </c>
      <c r="CD6" s="42">
        <f t="shared" si="9"/>
        <v>25000000</v>
      </c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>
        <f>+'[1]OCTUBRE 2019'!$H$3361</f>
        <v>25000000</v>
      </c>
      <c r="CV6" s="42"/>
      <c r="CW6" s="42"/>
      <c r="CX6" s="42"/>
      <c r="CY6" s="42"/>
      <c r="CZ6" s="42"/>
      <c r="DA6" s="42"/>
      <c r="DB6" s="43">
        <f t="shared" si="10"/>
        <v>0</v>
      </c>
      <c r="DC6" s="42">
        <f t="shared" si="11"/>
        <v>0</v>
      </c>
      <c r="DD6" s="42">
        <f t="shared" si="12"/>
        <v>0</v>
      </c>
      <c r="DE6" s="42">
        <f t="shared" si="12"/>
        <v>0</v>
      </c>
      <c r="DF6" s="42">
        <f t="shared" si="12"/>
        <v>0</v>
      </c>
      <c r="DG6" s="42">
        <f t="shared" si="12"/>
        <v>0</v>
      </c>
      <c r="DH6" s="42">
        <f t="shared" si="12"/>
        <v>0</v>
      </c>
      <c r="DI6" s="42">
        <f t="shared" si="12"/>
        <v>0</v>
      </c>
      <c r="DJ6" s="42">
        <f t="shared" si="12"/>
        <v>0</v>
      </c>
      <c r="DK6" s="42">
        <f t="shared" si="12"/>
        <v>0</v>
      </c>
      <c r="DL6" s="42">
        <f t="shared" si="12"/>
        <v>0</v>
      </c>
      <c r="DM6" s="42">
        <f t="shared" si="12"/>
        <v>0</v>
      </c>
      <c r="DN6" s="42">
        <f t="shared" si="12"/>
        <v>0</v>
      </c>
      <c r="DO6" s="42">
        <f t="shared" si="12"/>
        <v>0</v>
      </c>
      <c r="DP6" s="42">
        <f t="shared" si="12"/>
        <v>0</v>
      </c>
      <c r="DQ6" s="42">
        <f t="shared" si="12"/>
        <v>0</v>
      </c>
      <c r="DR6" s="42">
        <f t="shared" si="12"/>
        <v>0</v>
      </c>
      <c r="DS6" s="42">
        <f t="shared" si="12"/>
        <v>0</v>
      </c>
      <c r="DT6" s="42">
        <f t="shared" si="13"/>
        <v>0</v>
      </c>
      <c r="DU6" s="42">
        <f t="shared" si="13"/>
        <v>0</v>
      </c>
      <c r="DV6" s="42">
        <f t="shared" si="13"/>
        <v>0</v>
      </c>
      <c r="DW6" s="42">
        <f t="shared" si="13"/>
        <v>0</v>
      </c>
      <c r="DX6" s="42">
        <f t="shared" si="13"/>
        <v>0</v>
      </c>
      <c r="DY6" s="42"/>
      <c r="DZ6" s="42">
        <f t="shared" si="14"/>
        <v>0</v>
      </c>
      <c r="EB6" s="47">
        <f t="shared" si="15"/>
        <v>25000000</v>
      </c>
      <c r="EC6" s="47">
        <f t="shared" si="16"/>
        <v>25000000</v>
      </c>
      <c r="ED6" s="47">
        <f t="shared" si="17"/>
        <v>25000000</v>
      </c>
    </row>
    <row r="7" spans="1:134" ht="72.599999999999994" customHeight="1" x14ac:dyDescent="0.3">
      <c r="A7" s="48"/>
      <c r="B7" s="49"/>
      <c r="C7" s="38" t="s">
        <v>54</v>
      </c>
      <c r="D7" s="50" t="s">
        <v>55</v>
      </c>
      <c r="E7" s="40">
        <v>510</v>
      </c>
      <c r="F7" s="41" t="s">
        <v>53</v>
      </c>
      <c r="G7" s="42">
        <f t="shared" si="0"/>
        <v>6000000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>
        <v>6000000</v>
      </c>
      <c r="Y7" s="42"/>
      <c r="Z7" s="42"/>
      <c r="AA7" s="42"/>
      <c r="AB7" s="42"/>
      <c r="AC7" s="42"/>
      <c r="AD7" s="42"/>
      <c r="AE7" s="43">
        <f t="shared" si="1"/>
        <v>1</v>
      </c>
      <c r="AF7" s="42">
        <f t="shared" si="2"/>
        <v>6000000</v>
      </c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>
        <f>+'[2]SEPTIEMBRE 2019'!$Z$2996</f>
        <v>6000000</v>
      </c>
      <c r="AX7" s="42"/>
      <c r="AY7" s="42"/>
      <c r="AZ7" s="42"/>
      <c r="BA7" s="42"/>
      <c r="BB7" s="42"/>
      <c r="BC7" s="42"/>
      <c r="BD7" s="43">
        <f t="shared" si="3"/>
        <v>0</v>
      </c>
      <c r="BE7" s="42">
        <f t="shared" si="4"/>
        <v>0</v>
      </c>
      <c r="BF7" s="42">
        <f t="shared" si="5"/>
        <v>0</v>
      </c>
      <c r="BG7" s="42">
        <f t="shared" si="5"/>
        <v>0</v>
      </c>
      <c r="BH7" s="42">
        <f t="shared" si="5"/>
        <v>0</v>
      </c>
      <c r="BI7" s="42"/>
      <c r="BJ7" s="42">
        <f t="shared" si="6"/>
        <v>0</v>
      </c>
      <c r="BK7" s="42">
        <f t="shared" si="6"/>
        <v>0</v>
      </c>
      <c r="BL7" s="42">
        <f t="shared" si="6"/>
        <v>0</v>
      </c>
      <c r="BM7" s="42">
        <f t="shared" si="6"/>
        <v>0</v>
      </c>
      <c r="BN7" s="42">
        <f t="shared" si="6"/>
        <v>0</v>
      </c>
      <c r="BO7" s="42">
        <f t="shared" si="6"/>
        <v>0</v>
      </c>
      <c r="BP7" s="42">
        <f t="shared" si="6"/>
        <v>0</v>
      </c>
      <c r="BQ7" s="42">
        <f t="shared" si="6"/>
        <v>0</v>
      </c>
      <c r="BR7" s="42">
        <f t="shared" si="6"/>
        <v>0</v>
      </c>
      <c r="BS7" s="42">
        <f t="shared" si="6"/>
        <v>0</v>
      </c>
      <c r="BT7" s="42">
        <f t="shared" si="7"/>
        <v>0</v>
      </c>
      <c r="BU7" s="42">
        <f t="shared" si="7"/>
        <v>0</v>
      </c>
      <c r="BV7" s="42">
        <f t="shared" si="7"/>
        <v>0</v>
      </c>
      <c r="BW7" s="42">
        <f t="shared" si="7"/>
        <v>0</v>
      </c>
      <c r="BX7" s="42">
        <f t="shared" si="7"/>
        <v>0</v>
      </c>
      <c r="BY7" s="42">
        <f t="shared" si="7"/>
        <v>0</v>
      </c>
      <c r="BZ7" s="42">
        <f t="shared" si="7"/>
        <v>0</v>
      </c>
      <c r="CA7" s="42"/>
      <c r="CB7" s="42">
        <f>AD7-BC7</f>
        <v>0</v>
      </c>
      <c r="CC7" s="43">
        <f t="shared" si="8"/>
        <v>0.76107266666666662</v>
      </c>
      <c r="CD7" s="42">
        <f t="shared" si="9"/>
        <v>4566436</v>
      </c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>
        <f>+'[3]NOVIEMBRE 2019'!$H$3787</f>
        <v>4566436</v>
      </c>
      <c r="CV7" s="42"/>
      <c r="CW7" s="42"/>
      <c r="CX7" s="42"/>
      <c r="CY7" s="42"/>
      <c r="CZ7" s="42"/>
      <c r="DA7" s="42"/>
      <c r="DB7" s="43">
        <f t="shared" si="10"/>
        <v>0.23892733333333338</v>
      </c>
      <c r="DC7" s="42">
        <f t="shared" si="11"/>
        <v>1433564</v>
      </c>
      <c r="DD7" s="42">
        <f t="shared" si="12"/>
        <v>0</v>
      </c>
      <c r="DE7" s="42">
        <f t="shared" si="12"/>
        <v>0</v>
      </c>
      <c r="DF7" s="42">
        <f t="shared" si="12"/>
        <v>0</v>
      </c>
      <c r="DG7" s="42">
        <f t="shared" si="12"/>
        <v>0</v>
      </c>
      <c r="DH7" s="42">
        <f t="shared" si="12"/>
        <v>0</v>
      </c>
      <c r="DI7" s="42">
        <f t="shared" si="12"/>
        <v>0</v>
      </c>
      <c r="DJ7" s="42">
        <f t="shared" si="12"/>
        <v>0</v>
      </c>
      <c r="DK7" s="42">
        <f t="shared" si="12"/>
        <v>0</v>
      </c>
      <c r="DL7" s="42">
        <f t="shared" si="12"/>
        <v>0</v>
      </c>
      <c r="DM7" s="42">
        <f t="shared" si="12"/>
        <v>0</v>
      </c>
      <c r="DN7" s="42">
        <f t="shared" si="12"/>
        <v>0</v>
      </c>
      <c r="DO7" s="42">
        <f t="shared" si="12"/>
        <v>0</v>
      </c>
      <c r="DP7" s="42">
        <f t="shared" si="12"/>
        <v>0</v>
      </c>
      <c r="DQ7" s="42">
        <f t="shared" si="12"/>
        <v>0</v>
      </c>
      <c r="DR7" s="42">
        <f t="shared" si="12"/>
        <v>0</v>
      </c>
      <c r="DS7" s="42">
        <f t="shared" si="12"/>
        <v>0</v>
      </c>
      <c r="DT7" s="42">
        <f t="shared" si="13"/>
        <v>1433564</v>
      </c>
      <c r="DU7" s="42">
        <f t="shared" si="13"/>
        <v>0</v>
      </c>
      <c r="DV7" s="42">
        <f t="shared" si="13"/>
        <v>0</v>
      </c>
      <c r="DW7" s="42">
        <f t="shared" si="13"/>
        <v>0</v>
      </c>
      <c r="DX7" s="42">
        <f t="shared" si="13"/>
        <v>0</v>
      </c>
      <c r="DY7" s="42"/>
      <c r="DZ7" s="42">
        <f t="shared" si="14"/>
        <v>0</v>
      </c>
      <c r="EB7" s="47">
        <f t="shared" si="15"/>
        <v>6000000</v>
      </c>
      <c r="EC7" s="47">
        <f t="shared" si="16"/>
        <v>6000000</v>
      </c>
      <c r="ED7" s="47">
        <f t="shared" si="17"/>
        <v>6000000</v>
      </c>
    </row>
    <row r="8" spans="1:134" ht="59.4" customHeight="1" x14ac:dyDescent="0.3">
      <c r="A8" s="48"/>
      <c r="B8" s="49"/>
      <c r="C8" s="38" t="s">
        <v>56</v>
      </c>
      <c r="D8" s="50" t="s">
        <v>57</v>
      </c>
      <c r="E8" s="40">
        <v>510</v>
      </c>
      <c r="F8" s="41" t="s">
        <v>53</v>
      </c>
      <c r="G8" s="42">
        <f t="shared" si="0"/>
        <v>30000000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>
        <v>30000000</v>
      </c>
      <c r="Y8" s="42"/>
      <c r="Z8" s="42"/>
      <c r="AA8" s="42"/>
      <c r="AB8" s="42"/>
      <c r="AC8" s="42"/>
      <c r="AD8" s="42"/>
      <c r="AE8" s="43">
        <f t="shared" si="1"/>
        <v>0.67111109999999996</v>
      </c>
      <c r="AF8" s="42">
        <f t="shared" si="2"/>
        <v>20133333</v>
      </c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>
        <f>+'[1]OCTUBRE 2019'!$Z$3391</f>
        <v>20133333</v>
      </c>
      <c r="AX8" s="42"/>
      <c r="AY8" s="42"/>
      <c r="AZ8" s="42"/>
      <c r="BA8" s="42"/>
      <c r="BB8" s="42"/>
      <c r="BC8" s="42"/>
      <c r="BD8" s="43">
        <f t="shared" si="3"/>
        <v>0.32888890000000004</v>
      </c>
      <c r="BE8" s="42">
        <f t="shared" si="4"/>
        <v>9866667</v>
      </c>
      <c r="BF8" s="42">
        <f t="shared" si="5"/>
        <v>0</v>
      </c>
      <c r="BG8" s="42">
        <f t="shared" si="5"/>
        <v>0</v>
      </c>
      <c r="BH8" s="42">
        <f t="shared" si="5"/>
        <v>0</v>
      </c>
      <c r="BI8" s="42"/>
      <c r="BJ8" s="42">
        <f t="shared" si="6"/>
        <v>0</v>
      </c>
      <c r="BK8" s="42">
        <f t="shared" si="6"/>
        <v>0</v>
      </c>
      <c r="BL8" s="42">
        <f t="shared" si="6"/>
        <v>0</v>
      </c>
      <c r="BM8" s="42">
        <f t="shared" si="6"/>
        <v>0</v>
      </c>
      <c r="BN8" s="42">
        <f t="shared" si="6"/>
        <v>0</v>
      </c>
      <c r="BO8" s="42">
        <f t="shared" si="6"/>
        <v>0</v>
      </c>
      <c r="BP8" s="42">
        <f t="shared" si="6"/>
        <v>0</v>
      </c>
      <c r="BQ8" s="42">
        <f t="shared" si="6"/>
        <v>0</v>
      </c>
      <c r="BR8" s="42">
        <f t="shared" si="6"/>
        <v>0</v>
      </c>
      <c r="BS8" s="42">
        <f t="shared" si="6"/>
        <v>0</v>
      </c>
      <c r="BT8" s="42">
        <f t="shared" si="7"/>
        <v>0</v>
      </c>
      <c r="BU8" s="42">
        <f t="shared" si="7"/>
        <v>0</v>
      </c>
      <c r="BV8" s="42">
        <f t="shared" si="7"/>
        <v>9866667</v>
      </c>
      <c r="BW8" s="42">
        <f t="shared" si="7"/>
        <v>0</v>
      </c>
      <c r="BX8" s="42">
        <f t="shared" si="7"/>
        <v>0</v>
      </c>
      <c r="BY8" s="42">
        <f t="shared" si="7"/>
        <v>0</v>
      </c>
      <c r="BZ8" s="42">
        <f t="shared" si="7"/>
        <v>0</v>
      </c>
      <c r="CA8" s="42"/>
      <c r="CB8" s="42">
        <f>AD8-BC8</f>
        <v>0</v>
      </c>
      <c r="CC8" s="43">
        <f t="shared" si="8"/>
        <v>0.67111109999999996</v>
      </c>
      <c r="CD8" s="42">
        <f t="shared" si="9"/>
        <v>20133333</v>
      </c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>
        <f>+'[4]JULIO 2019'!$H$2254</f>
        <v>20133333</v>
      </c>
      <c r="CV8" s="42"/>
      <c r="CW8" s="42"/>
      <c r="CX8" s="42"/>
      <c r="CY8" s="42"/>
      <c r="CZ8" s="42"/>
      <c r="DA8" s="42"/>
      <c r="DB8" s="43">
        <f t="shared" si="10"/>
        <v>0.32888890000000004</v>
      </c>
      <c r="DC8" s="42">
        <f t="shared" si="11"/>
        <v>9866667</v>
      </c>
      <c r="DD8" s="42">
        <f t="shared" si="12"/>
        <v>0</v>
      </c>
      <c r="DE8" s="42">
        <f t="shared" si="12"/>
        <v>0</v>
      </c>
      <c r="DF8" s="42">
        <f t="shared" si="12"/>
        <v>0</v>
      </c>
      <c r="DG8" s="42">
        <f t="shared" si="12"/>
        <v>0</v>
      </c>
      <c r="DH8" s="42">
        <f t="shared" si="12"/>
        <v>0</v>
      </c>
      <c r="DI8" s="42">
        <f t="shared" si="12"/>
        <v>0</v>
      </c>
      <c r="DJ8" s="42">
        <f t="shared" si="12"/>
        <v>0</v>
      </c>
      <c r="DK8" s="42">
        <f t="shared" si="12"/>
        <v>0</v>
      </c>
      <c r="DL8" s="42">
        <f t="shared" si="12"/>
        <v>0</v>
      </c>
      <c r="DM8" s="42">
        <f t="shared" si="12"/>
        <v>0</v>
      </c>
      <c r="DN8" s="42">
        <f t="shared" si="12"/>
        <v>0</v>
      </c>
      <c r="DO8" s="42">
        <f t="shared" si="12"/>
        <v>0</v>
      </c>
      <c r="DP8" s="42">
        <f t="shared" si="12"/>
        <v>0</v>
      </c>
      <c r="DQ8" s="42">
        <f t="shared" si="12"/>
        <v>0</v>
      </c>
      <c r="DR8" s="42">
        <f t="shared" si="12"/>
        <v>0</v>
      </c>
      <c r="DS8" s="42">
        <f t="shared" si="12"/>
        <v>0</v>
      </c>
      <c r="DT8" s="42">
        <f t="shared" si="13"/>
        <v>9866667</v>
      </c>
      <c r="DU8" s="42">
        <f t="shared" si="13"/>
        <v>0</v>
      </c>
      <c r="DV8" s="42">
        <f t="shared" si="13"/>
        <v>0</v>
      </c>
      <c r="DW8" s="42">
        <f t="shared" si="13"/>
        <v>0</v>
      </c>
      <c r="DX8" s="42">
        <f t="shared" si="13"/>
        <v>0</v>
      </c>
      <c r="DY8" s="42"/>
      <c r="DZ8" s="42">
        <f t="shared" si="14"/>
        <v>0</v>
      </c>
      <c r="EB8" s="47">
        <f t="shared" si="15"/>
        <v>30000000</v>
      </c>
      <c r="EC8" s="47">
        <f t="shared" si="16"/>
        <v>30000000</v>
      </c>
      <c r="ED8" s="47">
        <f t="shared" si="17"/>
        <v>30000000</v>
      </c>
    </row>
    <row r="9" spans="1:134" ht="36.6" customHeight="1" x14ac:dyDescent="0.3">
      <c r="A9" s="48"/>
      <c r="B9" s="51"/>
      <c r="C9" s="38" t="s">
        <v>58</v>
      </c>
      <c r="D9" s="50" t="s">
        <v>59</v>
      </c>
      <c r="E9" s="40">
        <v>510</v>
      </c>
      <c r="F9" s="41" t="s">
        <v>53</v>
      </c>
      <c r="G9" s="42">
        <f t="shared" si="0"/>
        <v>5000000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>
        <v>5000000</v>
      </c>
      <c r="Y9" s="42"/>
      <c r="Z9" s="42"/>
      <c r="AA9" s="42"/>
      <c r="AB9" s="42"/>
      <c r="AC9" s="42"/>
      <c r="AD9" s="42"/>
      <c r="AE9" s="43">
        <f t="shared" si="1"/>
        <v>0.9982666</v>
      </c>
      <c r="AF9" s="42">
        <f t="shared" si="2"/>
        <v>4991333</v>
      </c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>
        <f>+'[1]OCTUBRE 2019'!$Z$3398</f>
        <v>4991333</v>
      </c>
      <c r="AX9" s="42"/>
      <c r="AY9" s="42"/>
      <c r="AZ9" s="42"/>
      <c r="BA9" s="42"/>
      <c r="BB9" s="42"/>
      <c r="BC9" s="42"/>
      <c r="BD9" s="43">
        <f t="shared" si="3"/>
        <v>1.7333999999999961E-3</v>
      </c>
      <c r="BE9" s="42">
        <f t="shared" si="4"/>
        <v>8667</v>
      </c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>
        <f t="shared" si="7"/>
        <v>8667</v>
      </c>
      <c r="BW9" s="42">
        <f t="shared" si="7"/>
        <v>0</v>
      </c>
      <c r="BX9" s="42"/>
      <c r="BY9" s="42"/>
      <c r="BZ9" s="42"/>
      <c r="CA9" s="42"/>
      <c r="CB9" s="42"/>
      <c r="CC9" s="43">
        <f t="shared" si="8"/>
        <v>0.9982666</v>
      </c>
      <c r="CD9" s="42">
        <f t="shared" si="9"/>
        <v>4991333</v>
      </c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>
        <f>+'[5]JUNIO 2019'!$H$1827</f>
        <v>4991333</v>
      </c>
      <c r="CV9" s="42"/>
      <c r="CW9" s="42"/>
      <c r="CX9" s="42"/>
      <c r="CY9" s="42"/>
      <c r="CZ9" s="42"/>
      <c r="DA9" s="42"/>
      <c r="DB9" s="43">
        <f t="shared" si="10"/>
        <v>1.7333999999999961E-3</v>
      </c>
      <c r="DC9" s="42">
        <f t="shared" si="11"/>
        <v>8667</v>
      </c>
      <c r="DD9" s="42">
        <f t="shared" si="12"/>
        <v>0</v>
      </c>
      <c r="DE9" s="42">
        <f t="shared" si="12"/>
        <v>0</v>
      </c>
      <c r="DF9" s="42">
        <f t="shared" si="12"/>
        <v>0</v>
      </c>
      <c r="DG9" s="42">
        <f t="shared" si="12"/>
        <v>0</v>
      </c>
      <c r="DH9" s="42">
        <f t="shared" si="12"/>
        <v>0</v>
      </c>
      <c r="DI9" s="42">
        <f t="shared" si="12"/>
        <v>0</v>
      </c>
      <c r="DJ9" s="42">
        <f t="shared" si="12"/>
        <v>0</v>
      </c>
      <c r="DK9" s="42">
        <f t="shared" si="12"/>
        <v>0</v>
      </c>
      <c r="DL9" s="42">
        <f t="shared" si="12"/>
        <v>0</v>
      </c>
      <c r="DM9" s="42">
        <f t="shared" si="12"/>
        <v>0</v>
      </c>
      <c r="DN9" s="42">
        <f t="shared" si="12"/>
        <v>0</v>
      </c>
      <c r="DO9" s="42">
        <f t="shared" si="12"/>
        <v>0</v>
      </c>
      <c r="DP9" s="42">
        <f t="shared" si="12"/>
        <v>0</v>
      </c>
      <c r="DQ9" s="42">
        <f t="shared" si="12"/>
        <v>0</v>
      </c>
      <c r="DR9" s="42">
        <f t="shared" si="12"/>
        <v>0</v>
      </c>
      <c r="DS9" s="42">
        <f t="shared" si="12"/>
        <v>0</v>
      </c>
      <c r="DT9" s="42">
        <f t="shared" si="13"/>
        <v>8667</v>
      </c>
      <c r="DU9" s="42">
        <f t="shared" si="13"/>
        <v>0</v>
      </c>
      <c r="DV9" s="42">
        <f t="shared" si="13"/>
        <v>0</v>
      </c>
      <c r="DW9" s="42">
        <f t="shared" si="13"/>
        <v>0</v>
      </c>
      <c r="DX9" s="42">
        <f t="shared" si="13"/>
        <v>0</v>
      </c>
      <c r="DY9" s="42"/>
      <c r="DZ9" s="42">
        <f t="shared" si="14"/>
        <v>0</v>
      </c>
      <c r="EB9" s="47">
        <f t="shared" si="15"/>
        <v>5000000</v>
      </c>
      <c r="EC9" s="47">
        <f t="shared" si="16"/>
        <v>5000000</v>
      </c>
      <c r="ED9" s="47">
        <f t="shared" si="17"/>
        <v>5000000</v>
      </c>
    </row>
    <row r="10" spans="1:134" ht="51" customHeight="1" x14ac:dyDescent="0.3">
      <c r="A10" s="48"/>
      <c r="B10" s="52" t="s">
        <v>60</v>
      </c>
      <c r="C10" s="38" t="s">
        <v>61</v>
      </c>
      <c r="D10" s="39" t="s">
        <v>62</v>
      </c>
      <c r="E10" s="40">
        <v>510</v>
      </c>
      <c r="F10" s="41" t="s">
        <v>63</v>
      </c>
      <c r="G10" s="42">
        <f t="shared" si="0"/>
        <v>126000000</v>
      </c>
      <c r="H10" s="42"/>
      <c r="I10" s="42"/>
      <c r="J10" s="42"/>
      <c r="K10" s="42"/>
      <c r="L10" s="42"/>
      <c r="M10" s="42"/>
      <c r="N10" s="42"/>
      <c r="O10" s="42"/>
      <c r="P10" s="42">
        <v>15000000</v>
      </c>
      <c r="Q10" s="42">
        <v>15000000</v>
      </c>
      <c r="R10" s="42">
        <v>15000000</v>
      </c>
      <c r="S10" s="42"/>
      <c r="T10" s="42"/>
      <c r="U10" s="42"/>
      <c r="V10" s="42"/>
      <c r="W10" s="42"/>
      <c r="X10" s="42">
        <v>16000000</v>
      </c>
      <c r="Y10" s="42"/>
      <c r="Z10" s="42"/>
      <c r="AA10" s="42"/>
      <c r="AB10" s="42"/>
      <c r="AC10" s="42"/>
      <c r="AD10" s="42">
        <f>45000000+25000000+5000000+5000000-15000000</f>
        <v>65000000</v>
      </c>
      <c r="AE10" s="43">
        <f t="shared" si="1"/>
        <v>0.48774869047619046</v>
      </c>
      <c r="AF10" s="42">
        <f t="shared" si="2"/>
        <v>61456335</v>
      </c>
      <c r="AG10" s="42"/>
      <c r="AH10" s="42"/>
      <c r="AI10" s="42"/>
      <c r="AJ10" s="42"/>
      <c r="AK10" s="42"/>
      <c r="AL10" s="42"/>
      <c r="AM10" s="42"/>
      <c r="AN10" s="42"/>
      <c r="AO10" s="42"/>
      <c r="AP10" s="42">
        <f>+'[1]OCTUBRE 2019'!$S$3409</f>
        <v>14999964</v>
      </c>
      <c r="AQ10" s="42"/>
      <c r="AR10" s="42"/>
      <c r="AS10" s="42"/>
      <c r="AT10" s="42"/>
      <c r="AU10" s="42"/>
      <c r="AV10" s="42"/>
      <c r="AW10" s="42">
        <f>+'[4]JULIO 2019'!$Y$2274</f>
        <v>16000000</v>
      </c>
      <c r="AX10" s="42"/>
      <c r="AY10" s="42"/>
      <c r="AZ10" s="42"/>
      <c r="BA10" s="42"/>
      <c r="BB10" s="42"/>
      <c r="BC10" s="42">
        <f>+'[3]NOVIEMBRE 2019'!$AG$3818</f>
        <v>30456371</v>
      </c>
      <c r="BD10" s="43">
        <f t="shared" si="3"/>
        <v>0.51225130952380948</v>
      </c>
      <c r="BE10" s="42">
        <f t="shared" si="4"/>
        <v>64543665</v>
      </c>
      <c r="BF10" s="42">
        <f t="shared" ref="BF10:BH13" si="18">H10-AG10</f>
        <v>0</v>
      </c>
      <c r="BG10" s="42">
        <f t="shared" si="18"/>
        <v>0</v>
      </c>
      <c r="BH10" s="42">
        <f t="shared" si="18"/>
        <v>0</v>
      </c>
      <c r="BI10" s="42">
        <f t="shared" ref="BI10:BI38" si="19">+K10-AJ10</f>
        <v>0</v>
      </c>
      <c r="BJ10" s="42">
        <f t="shared" ref="BJ10:BU13" si="20">L10-AK10</f>
        <v>0</v>
      </c>
      <c r="BK10" s="42">
        <f t="shared" si="20"/>
        <v>0</v>
      </c>
      <c r="BL10" s="42">
        <f t="shared" si="20"/>
        <v>0</v>
      </c>
      <c r="BM10" s="42">
        <f t="shared" si="20"/>
        <v>0</v>
      </c>
      <c r="BN10" s="42">
        <f t="shared" si="20"/>
        <v>15000000</v>
      </c>
      <c r="BO10" s="42">
        <f t="shared" si="20"/>
        <v>36</v>
      </c>
      <c r="BP10" s="42">
        <f t="shared" si="20"/>
        <v>15000000</v>
      </c>
      <c r="BQ10" s="42">
        <f t="shared" si="20"/>
        <v>0</v>
      </c>
      <c r="BR10" s="42">
        <f t="shared" si="20"/>
        <v>0</v>
      </c>
      <c r="BS10" s="42">
        <f t="shared" si="20"/>
        <v>0</v>
      </c>
      <c r="BT10" s="42">
        <f t="shared" si="20"/>
        <v>0</v>
      </c>
      <c r="BU10" s="42">
        <f t="shared" si="20"/>
        <v>0</v>
      </c>
      <c r="BV10" s="42">
        <f t="shared" si="7"/>
        <v>0</v>
      </c>
      <c r="BW10" s="42">
        <f t="shared" si="7"/>
        <v>0</v>
      </c>
      <c r="BX10" s="42">
        <f t="shared" si="7"/>
        <v>0</v>
      </c>
      <c r="BY10" s="42">
        <f t="shared" si="7"/>
        <v>0</v>
      </c>
      <c r="BZ10" s="42">
        <f t="shared" si="7"/>
        <v>0</v>
      </c>
      <c r="CA10" s="42">
        <f t="shared" si="7"/>
        <v>0</v>
      </c>
      <c r="CB10" s="42">
        <f t="shared" si="7"/>
        <v>34543629</v>
      </c>
      <c r="CC10" s="43">
        <f t="shared" si="8"/>
        <v>0.38306014285714285</v>
      </c>
      <c r="CD10" s="42">
        <f t="shared" si="9"/>
        <v>48265578</v>
      </c>
      <c r="CE10" s="42"/>
      <c r="CF10" s="42"/>
      <c r="CG10" s="42"/>
      <c r="CH10" s="42"/>
      <c r="CI10" s="42"/>
      <c r="CJ10" s="42"/>
      <c r="CK10" s="42"/>
      <c r="CL10" s="42"/>
      <c r="CM10" s="42"/>
      <c r="CN10" s="42">
        <f>+'[1]OCTUBRE 2019'!$H$3424</f>
        <v>14999964</v>
      </c>
      <c r="CO10" s="42"/>
      <c r="CP10" s="42"/>
      <c r="CQ10" s="42"/>
      <c r="CR10" s="42"/>
      <c r="CS10" s="42"/>
      <c r="CT10" s="42"/>
      <c r="CU10" s="42">
        <f>+'[1]OCTUBRE 2019'!$H$3417</f>
        <v>7200000</v>
      </c>
      <c r="CV10" s="42"/>
      <c r="CW10" s="42"/>
      <c r="CX10" s="42"/>
      <c r="CY10" s="42"/>
      <c r="CZ10" s="42"/>
      <c r="DA10" s="42">
        <f>+'[3]NOVIEMBRE 2019'!$H$3819+'[3]NOVIEMBRE 2019'!$H$3822+'[3]NOVIEMBRE 2019'!$H$3823+'[3]NOVIEMBRE 2019'!$H$3824+'[3]NOVIEMBRE 2019'!$H$3825+'[3]NOVIEMBRE 2019'!$H$3828+'[3]NOVIEMBRE 2019'!$H$3831+'[3]NOVIEMBRE 2019'!$H$3832+'[3]NOVIEMBRE 2019'!$H$3838+'[3]NOVIEMBRE 2019'!$H$3841+'[3]NOVIEMBRE 2019'!$H$3842+'[3]NOVIEMBRE 2019'!$H$3844</f>
        <v>26065614</v>
      </c>
      <c r="DB10" s="43">
        <f t="shared" si="10"/>
        <v>0.61693985714285715</v>
      </c>
      <c r="DC10" s="42">
        <f t="shared" si="11"/>
        <v>77734422</v>
      </c>
      <c r="DD10" s="42">
        <f t="shared" si="12"/>
        <v>0</v>
      </c>
      <c r="DE10" s="42">
        <f t="shared" si="12"/>
        <v>0</v>
      </c>
      <c r="DF10" s="42">
        <f t="shared" si="12"/>
        <v>0</v>
      </c>
      <c r="DG10" s="42">
        <f t="shared" si="12"/>
        <v>0</v>
      </c>
      <c r="DH10" s="42">
        <f t="shared" si="12"/>
        <v>0</v>
      </c>
      <c r="DI10" s="42">
        <f t="shared" si="12"/>
        <v>0</v>
      </c>
      <c r="DJ10" s="42">
        <f t="shared" si="12"/>
        <v>0</v>
      </c>
      <c r="DK10" s="42">
        <f t="shared" si="12"/>
        <v>0</v>
      </c>
      <c r="DL10" s="42">
        <f t="shared" si="12"/>
        <v>15000000</v>
      </c>
      <c r="DM10" s="42">
        <f t="shared" si="12"/>
        <v>36</v>
      </c>
      <c r="DN10" s="42">
        <f t="shared" si="12"/>
        <v>15000000</v>
      </c>
      <c r="DO10" s="42">
        <f t="shared" si="12"/>
        <v>0</v>
      </c>
      <c r="DP10" s="42">
        <f t="shared" si="12"/>
        <v>0</v>
      </c>
      <c r="DQ10" s="42">
        <f t="shared" si="12"/>
        <v>0</v>
      </c>
      <c r="DR10" s="42">
        <f t="shared" si="12"/>
        <v>0</v>
      </c>
      <c r="DS10" s="42">
        <f t="shared" si="12"/>
        <v>0</v>
      </c>
      <c r="DT10" s="42">
        <f t="shared" si="13"/>
        <v>8800000</v>
      </c>
      <c r="DU10" s="42">
        <f t="shared" si="13"/>
        <v>0</v>
      </c>
      <c r="DV10" s="42">
        <f t="shared" si="13"/>
        <v>0</v>
      </c>
      <c r="DW10" s="42">
        <f t="shared" si="13"/>
        <v>0</v>
      </c>
      <c r="DX10" s="42">
        <f t="shared" si="13"/>
        <v>0</v>
      </c>
      <c r="DY10" s="42">
        <f>AC10-CZ10</f>
        <v>0</v>
      </c>
      <c r="DZ10" s="42">
        <f t="shared" si="14"/>
        <v>38934386</v>
      </c>
      <c r="EB10" s="47">
        <f t="shared" si="15"/>
        <v>126000000</v>
      </c>
      <c r="EC10" s="47">
        <f t="shared" si="16"/>
        <v>126000000</v>
      </c>
      <c r="ED10" s="47">
        <f t="shared" si="17"/>
        <v>126000000</v>
      </c>
    </row>
    <row r="11" spans="1:134" ht="21" customHeight="1" x14ac:dyDescent="0.3">
      <c r="A11" s="48"/>
      <c r="B11" s="52"/>
      <c r="C11" s="38" t="s">
        <v>64</v>
      </c>
      <c r="D11" s="53" t="s">
        <v>65</v>
      </c>
      <c r="E11" s="40">
        <v>510</v>
      </c>
      <c r="F11" s="41" t="s">
        <v>53</v>
      </c>
      <c r="G11" s="42">
        <f t="shared" si="0"/>
        <v>992811018</v>
      </c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>
        <v>20000000</v>
      </c>
      <c r="Y11" s="42"/>
      <c r="Z11" s="42"/>
      <c r="AA11" s="42"/>
      <c r="AB11" s="42"/>
      <c r="AC11" s="42">
        <v>972811018</v>
      </c>
      <c r="AD11" s="42"/>
      <c r="AE11" s="43">
        <f t="shared" si="1"/>
        <v>0.58553943244010209</v>
      </c>
      <c r="AF11" s="42">
        <f t="shared" si="2"/>
        <v>581330000</v>
      </c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>
        <f>+'[3]NOVIEMBRE 2019'!$AF$3852</f>
        <v>581330000</v>
      </c>
      <c r="BC11" s="42"/>
      <c r="BD11" s="43">
        <f t="shared" si="3"/>
        <v>0.41446056755989791</v>
      </c>
      <c r="BE11" s="42">
        <f t="shared" si="4"/>
        <v>411481018</v>
      </c>
      <c r="BF11" s="42">
        <f t="shared" si="18"/>
        <v>0</v>
      </c>
      <c r="BG11" s="42">
        <f t="shared" si="18"/>
        <v>0</v>
      </c>
      <c r="BH11" s="42">
        <f t="shared" si="18"/>
        <v>0</v>
      </c>
      <c r="BI11" s="42">
        <f t="shared" si="19"/>
        <v>0</v>
      </c>
      <c r="BJ11" s="42">
        <f t="shared" si="20"/>
        <v>0</v>
      </c>
      <c r="BK11" s="42">
        <f t="shared" si="20"/>
        <v>0</v>
      </c>
      <c r="BL11" s="42">
        <f t="shared" si="20"/>
        <v>0</v>
      </c>
      <c r="BM11" s="42">
        <f t="shared" si="20"/>
        <v>0</v>
      </c>
      <c r="BN11" s="42">
        <f t="shared" si="20"/>
        <v>0</v>
      </c>
      <c r="BO11" s="42">
        <f t="shared" si="20"/>
        <v>0</v>
      </c>
      <c r="BP11" s="42">
        <f t="shared" si="20"/>
        <v>0</v>
      </c>
      <c r="BQ11" s="42">
        <f t="shared" si="20"/>
        <v>0</v>
      </c>
      <c r="BR11" s="42">
        <f t="shared" si="20"/>
        <v>0</v>
      </c>
      <c r="BS11" s="42">
        <f t="shared" si="20"/>
        <v>0</v>
      </c>
      <c r="BT11" s="42">
        <f t="shared" si="20"/>
        <v>0</v>
      </c>
      <c r="BU11" s="42">
        <f t="shared" si="20"/>
        <v>0</v>
      </c>
      <c r="BV11" s="42">
        <f t="shared" si="7"/>
        <v>20000000</v>
      </c>
      <c r="BW11" s="42">
        <f t="shared" si="7"/>
        <v>0</v>
      </c>
      <c r="BX11" s="42">
        <f t="shared" si="7"/>
        <v>0</v>
      </c>
      <c r="BY11" s="42">
        <f t="shared" si="7"/>
        <v>0</v>
      </c>
      <c r="BZ11" s="42">
        <f t="shared" si="7"/>
        <v>0</v>
      </c>
      <c r="CA11" s="42">
        <f t="shared" si="7"/>
        <v>391481018</v>
      </c>
      <c r="CB11" s="42">
        <f t="shared" si="7"/>
        <v>0</v>
      </c>
      <c r="CC11" s="43">
        <f t="shared" si="8"/>
        <v>0.47042606753181704</v>
      </c>
      <c r="CD11" s="42">
        <f t="shared" si="9"/>
        <v>467044183</v>
      </c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>
        <f>+'[1]OCTUBRE 2019'!$H$3432</f>
        <v>467044183</v>
      </c>
      <c r="DA11" s="42"/>
      <c r="DB11" s="43">
        <f t="shared" si="10"/>
        <v>0.52957393246818296</v>
      </c>
      <c r="DC11" s="42">
        <f t="shared" si="11"/>
        <v>525766835</v>
      </c>
      <c r="DD11" s="42">
        <f t="shared" si="12"/>
        <v>0</v>
      </c>
      <c r="DE11" s="42">
        <f t="shared" si="12"/>
        <v>0</v>
      </c>
      <c r="DF11" s="42">
        <f t="shared" si="12"/>
        <v>0</v>
      </c>
      <c r="DG11" s="42">
        <f t="shared" si="12"/>
        <v>0</v>
      </c>
      <c r="DH11" s="42">
        <f t="shared" si="12"/>
        <v>0</v>
      </c>
      <c r="DI11" s="42">
        <f t="shared" si="12"/>
        <v>0</v>
      </c>
      <c r="DJ11" s="42">
        <f t="shared" si="12"/>
        <v>0</v>
      </c>
      <c r="DK11" s="42">
        <f t="shared" si="12"/>
        <v>0</v>
      </c>
      <c r="DL11" s="42">
        <f t="shared" si="12"/>
        <v>0</v>
      </c>
      <c r="DM11" s="42">
        <f t="shared" si="12"/>
        <v>0</v>
      </c>
      <c r="DN11" s="42">
        <f t="shared" si="12"/>
        <v>0</v>
      </c>
      <c r="DO11" s="42">
        <f t="shared" si="12"/>
        <v>0</v>
      </c>
      <c r="DP11" s="42">
        <f t="shared" si="12"/>
        <v>0</v>
      </c>
      <c r="DQ11" s="42">
        <f t="shared" si="12"/>
        <v>0</v>
      </c>
      <c r="DR11" s="42">
        <f t="shared" si="12"/>
        <v>0</v>
      </c>
      <c r="DS11" s="42">
        <f t="shared" si="12"/>
        <v>0</v>
      </c>
      <c r="DT11" s="42">
        <f t="shared" si="13"/>
        <v>20000000</v>
      </c>
      <c r="DU11" s="42">
        <f t="shared" si="13"/>
        <v>0</v>
      </c>
      <c r="DV11" s="42">
        <f t="shared" si="13"/>
        <v>0</v>
      </c>
      <c r="DW11" s="42">
        <f t="shared" si="13"/>
        <v>0</v>
      </c>
      <c r="DX11" s="42">
        <f t="shared" si="13"/>
        <v>0</v>
      </c>
      <c r="DY11" s="42">
        <f>AC11-CZ11</f>
        <v>505766835</v>
      </c>
      <c r="DZ11" s="42">
        <f t="shared" si="14"/>
        <v>0</v>
      </c>
      <c r="EB11" s="47">
        <f t="shared" si="15"/>
        <v>992811018</v>
      </c>
      <c r="EC11" s="47">
        <f t="shared" si="16"/>
        <v>992811018</v>
      </c>
      <c r="ED11" s="47">
        <f t="shared" si="17"/>
        <v>992811018</v>
      </c>
    </row>
    <row r="12" spans="1:134" ht="41.4" customHeight="1" x14ac:dyDescent="0.3">
      <c r="A12" s="48"/>
      <c r="B12" s="52"/>
      <c r="C12" s="38" t="s">
        <v>66</v>
      </c>
      <c r="D12" s="39" t="s">
        <v>67</v>
      </c>
      <c r="E12" s="40">
        <v>510</v>
      </c>
      <c r="F12" s="41" t="s">
        <v>53</v>
      </c>
      <c r="G12" s="42">
        <f t="shared" si="0"/>
        <v>15000000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>
        <v>15000000</v>
      </c>
      <c r="Y12" s="42"/>
      <c r="Z12" s="42"/>
      <c r="AA12" s="42"/>
      <c r="AB12" s="42"/>
      <c r="AC12" s="42"/>
      <c r="AD12" s="42"/>
      <c r="AE12" s="43">
        <f t="shared" si="1"/>
        <v>1</v>
      </c>
      <c r="AF12" s="42">
        <f t="shared" si="2"/>
        <v>15000000</v>
      </c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>
        <f>+'[6]MARZO 2019'!$Y$1108</f>
        <v>15000000</v>
      </c>
      <c r="AX12" s="42"/>
      <c r="AY12" s="42"/>
      <c r="AZ12" s="42"/>
      <c r="BA12" s="42"/>
      <c r="BB12" s="42"/>
      <c r="BC12" s="42"/>
      <c r="BD12" s="43">
        <f t="shared" si="3"/>
        <v>0</v>
      </c>
      <c r="BE12" s="42">
        <f t="shared" si="4"/>
        <v>0</v>
      </c>
      <c r="BF12" s="42">
        <f t="shared" si="18"/>
        <v>0</v>
      </c>
      <c r="BG12" s="42">
        <f t="shared" si="18"/>
        <v>0</v>
      </c>
      <c r="BH12" s="42">
        <f t="shared" si="18"/>
        <v>0</v>
      </c>
      <c r="BI12" s="42">
        <f t="shared" si="19"/>
        <v>0</v>
      </c>
      <c r="BJ12" s="42">
        <f t="shared" si="20"/>
        <v>0</v>
      </c>
      <c r="BK12" s="42">
        <f t="shared" si="20"/>
        <v>0</v>
      </c>
      <c r="BL12" s="42">
        <f t="shared" si="20"/>
        <v>0</v>
      </c>
      <c r="BM12" s="42">
        <f t="shared" si="20"/>
        <v>0</v>
      </c>
      <c r="BN12" s="42">
        <f t="shared" si="20"/>
        <v>0</v>
      </c>
      <c r="BO12" s="42">
        <f t="shared" si="20"/>
        <v>0</v>
      </c>
      <c r="BP12" s="42">
        <f t="shared" si="20"/>
        <v>0</v>
      </c>
      <c r="BQ12" s="42">
        <f t="shared" si="20"/>
        <v>0</v>
      </c>
      <c r="BR12" s="42">
        <f t="shared" si="20"/>
        <v>0</v>
      </c>
      <c r="BS12" s="42">
        <f t="shared" si="20"/>
        <v>0</v>
      </c>
      <c r="BT12" s="42">
        <f t="shared" si="20"/>
        <v>0</v>
      </c>
      <c r="BU12" s="42">
        <f t="shared" si="20"/>
        <v>0</v>
      </c>
      <c r="BV12" s="42">
        <f t="shared" si="7"/>
        <v>0</v>
      </c>
      <c r="BW12" s="42">
        <f t="shared" si="7"/>
        <v>0</v>
      </c>
      <c r="BX12" s="42">
        <f t="shared" si="7"/>
        <v>0</v>
      </c>
      <c r="BY12" s="42">
        <f t="shared" si="7"/>
        <v>0</v>
      </c>
      <c r="BZ12" s="42">
        <f t="shared" si="7"/>
        <v>0</v>
      </c>
      <c r="CA12" s="42"/>
      <c r="CB12" s="42">
        <f>AD12-BC12</f>
        <v>0</v>
      </c>
      <c r="CC12" s="43">
        <f t="shared" si="8"/>
        <v>0.87111106666666671</v>
      </c>
      <c r="CD12" s="42">
        <f t="shared" si="9"/>
        <v>13066666</v>
      </c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>
        <f>+'[4]JULIO 2019'!$H$2299</f>
        <v>13066666</v>
      </c>
      <c r="CV12" s="42"/>
      <c r="CW12" s="42"/>
      <c r="CX12" s="42"/>
      <c r="CY12" s="42"/>
      <c r="CZ12" s="42"/>
      <c r="DA12" s="42"/>
      <c r="DB12" s="43">
        <f t="shared" si="10"/>
        <v>0.12888893333333329</v>
      </c>
      <c r="DC12" s="42">
        <f t="shared" si="11"/>
        <v>1933334</v>
      </c>
      <c r="DD12" s="42">
        <f t="shared" si="12"/>
        <v>0</v>
      </c>
      <c r="DE12" s="42">
        <f t="shared" si="12"/>
        <v>0</v>
      </c>
      <c r="DF12" s="42">
        <f t="shared" si="12"/>
        <v>0</v>
      </c>
      <c r="DG12" s="42">
        <f t="shared" si="12"/>
        <v>0</v>
      </c>
      <c r="DH12" s="42">
        <f t="shared" si="12"/>
        <v>0</v>
      </c>
      <c r="DI12" s="42">
        <f t="shared" si="12"/>
        <v>0</v>
      </c>
      <c r="DJ12" s="42">
        <f t="shared" si="12"/>
        <v>0</v>
      </c>
      <c r="DK12" s="42">
        <f t="shared" si="12"/>
        <v>0</v>
      </c>
      <c r="DL12" s="42">
        <f t="shared" si="12"/>
        <v>0</v>
      </c>
      <c r="DM12" s="42">
        <f t="shared" si="12"/>
        <v>0</v>
      </c>
      <c r="DN12" s="42">
        <f t="shared" si="12"/>
        <v>0</v>
      </c>
      <c r="DO12" s="42">
        <f t="shared" si="12"/>
        <v>0</v>
      </c>
      <c r="DP12" s="42">
        <f t="shared" si="12"/>
        <v>0</v>
      </c>
      <c r="DQ12" s="42">
        <f t="shared" si="12"/>
        <v>0</v>
      </c>
      <c r="DR12" s="42">
        <f t="shared" si="12"/>
        <v>0</v>
      </c>
      <c r="DS12" s="42">
        <f t="shared" si="12"/>
        <v>0</v>
      </c>
      <c r="DT12" s="42">
        <f t="shared" si="13"/>
        <v>1933334</v>
      </c>
      <c r="DU12" s="42">
        <f t="shared" si="13"/>
        <v>0</v>
      </c>
      <c r="DV12" s="42">
        <f t="shared" si="13"/>
        <v>0</v>
      </c>
      <c r="DW12" s="42">
        <f t="shared" si="13"/>
        <v>0</v>
      </c>
      <c r="DX12" s="42">
        <f t="shared" si="13"/>
        <v>0</v>
      </c>
      <c r="DY12" s="42"/>
      <c r="DZ12" s="42">
        <f t="shared" si="14"/>
        <v>0</v>
      </c>
      <c r="EB12" s="47">
        <f t="shared" si="15"/>
        <v>15000000</v>
      </c>
      <c r="EC12" s="47">
        <f t="shared" si="16"/>
        <v>15000000</v>
      </c>
      <c r="ED12" s="47">
        <f t="shared" si="17"/>
        <v>15000000</v>
      </c>
    </row>
    <row r="13" spans="1:134" ht="28.8" customHeight="1" x14ac:dyDescent="0.3">
      <c r="A13" s="48"/>
      <c r="B13" s="52"/>
      <c r="C13" s="38" t="s">
        <v>68</v>
      </c>
      <c r="D13" s="39" t="s">
        <v>69</v>
      </c>
      <c r="E13" s="40">
        <v>510</v>
      </c>
      <c r="F13" s="41" t="s">
        <v>53</v>
      </c>
      <c r="G13" s="42">
        <f t="shared" si="0"/>
        <v>15000000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>
        <f>40000000-25000000</f>
        <v>15000000</v>
      </c>
      <c r="Y13" s="42"/>
      <c r="Z13" s="42"/>
      <c r="AA13" s="42"/>
      <c r="AB13" s="42"/>
      <c r="AC13" s="42"/>
      <c r="AD13" s="42"/>
      <c r="AE13" s="43">
        <f t="shared" si="1"/>
        <v>0</v>
      </c>
      <c r="AF13" s="42">
        <f t="shared" si="2"/>
        <v>0</v>
      </c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3">
        <f t="shared" si="3"/>
        <v>1</v>
      </c>
      <c r="BE13" s="42">
        <f t="shared" si="4"/>
        <v>15000000</v>
      </c>
      <c r="BF13" s="42">
        <f t="shared" si="18"/>
        <v>0</v>
      </c>
      <c r="BG13" s="42">
        <f t="shared" si="18"/>
        <v>0</v>
      </c>
      <c r="BH13" s="42">
        <f t="shared" si="18"/>
        <v>0</v>
      </c>
      <c r="BI13" s="42">
        <f t="shared" si="19"/>
        <v>0</v>
      </c>
      <c r="BJ13" s="42">
        <f t="shared" si="20"/>
        <v>0</v>
      </c>
      <c r="BK13" s="42">
        <f t="shared" si="20"/>
        <v>0</v>
      </c>
      <c r="BL13" s="42">
        <f t="shared" si="20"/>
        <v>0</v>
      </c>
      <c r="BM13" s="42">
        <f t="shared" si="20"/>
        <v>0</v>
      </c>
      <c r="BN13" s="42">
        <f t="shared" si="20"/>
        <v>0</v>
      </c>
      <c r="BO13" s="42">
        <f t="shared" si="20"/>
        <v>0</v>
      </c>
      <c r="BP13" s="42">
        <f t="shared" si="20"/>
        <v>0</v>
      </c>
      <c r="BQ13" s="42">
        <f t="shared" si="20"/>
        <v>0</v>
      </c>
      <c r="BR13" s="42">
        <f t="shared" si="20"/>
        <v>0</v>
      </c>
      <c r="BS13" s="42">
        <f t="shared" si="20"/>
        <v>0</v>
      </c>
      <c r="BT13" s="42">
        <f t="shared" si="20"/>
        <v>0</v>
      </c>
      <c r="BU13" s="42">
        <f t="shared" si="20"/>
        <v>0</v>
      </c>
      <c r="BV13" s="42">
        <f t="shared" si="7"/>
        <v>15000000</v>
      </c>
      <c r="BW13" s="42">
        <f t="shared" si="7"/>
        <v>0</v>
      </c>
      <c r="BX13" s="42">
        <f t="shared" si="7"/>
        <v>0</v>
      </c>
      <c r="BY13" s="42">
        <f t="shared" si="7"/>
        <v>0</v>
      </c>
      <c r="BZ13" s="42">
        <f t="shared" si="7"/>
        <v>0</v>
      </c>
      <c r="CA13" s="42"/>
      <c r="CB13" s="42">
        <f>AD13-BC13</f>
        <v>0</v>
      </c>
      <c r="CC13" s="43">
        <f t="shared" si="8"/>
        <v>0</v>
      </c>
      <c r="CD13" s="42">
        <f t="shared" si="9"/>
        <v>0</v>
      </c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3">
        <f t="shared" si="10"/>
        <v>1</v>
      </c>
      <c r="DC13" s="42">
        <f t="shared" si="11"/>
        <v>15000000</v>
      </c>
      <c r="DD13" s="42">
        <f t="shared" si="12"/>
        <v>0</v>
      </c>
      <c r="DE13" s="42">
        <f t="shared" si="12"/>
        <v>0</v>
      </c>
      <c r="DF13" s="42">
        <f t="shared" si="12"/>
        <v>0</v>
      </c>
      <c r="DG13" s="42">
        <f t="shared" si="12"/>
        <v>0</v>
      </c>
      <c r="DH13" s="42">
        <f t="shared" si="12"/>
        <v>0</v>
      </c>
      <c r="DI13" s="42">
        <f t="shared" si="12"/>
        <v>0</v>
      </c>
      <c r="DJ13" s="42">
        <f t="shared" si="12"/>
        <v>0</v>
      </c>
      <c r="DK13" s="42">
        <f t="shared" si="12"/>
        <v>0</v>
      </c>
      <c r="DL13" s="42">
        <f t="shared" si="12"/>
        <v>0</v>
      </c>
      <c r="DM13" s="42">
        <f t="shared" si="12"/>
        <v>0</v>
      </c>
      <c r="DN13" s="42">
        <f t="shared" si="12"/>
        <v>0</v>
      </c>
      <c r="DO13" s="42">
        <f t="shared" si="12"/>
        <v>0</v>
      </c>
      <c r="DP13" s="42">
        <f t="shared" si="12"/>
        <v>0</v>
      </c>
      <c r="DQ13" s="42">
        <f t="shared" si="12"/>
        <v>0</v>
      </c>
      <c r="DR13" s="42">
        <f t="shared" si="12"/>
        <v>0</v>
      </c>
      <c r="DS13" s="42">
        <f t="shared" si="12"/>
        <v>0</v>
      </c>
      <c r="DT13" s="42">
        <f t="shared" si="13"/>
        <v>15000000</v>
      </c>
      <c r="DU13" s="42">
        <f t="shared" si="13"/>
        <v>0</v>
      </c>
      <c r="DV13" s="42">
        <f t="shared" si="13"/>
        <v>0</v>
      </c>
      <c r="DW13" s="42">
        <f t="shared" si="13"/>
        <v>0</v>
      </c>
      <c r="DX13" s="42">
        <f t="shared" si="13"/>
        <v>0</v>
      </c>
      <c r="DY13" s="42"/>
      <c r="DZ13" s="42">
        <f t="shared" si="14"/>
        <v>0</v>
      </c>
      <c r="EB13" s="47">
        <f t="shared" si="15"/>
        <v>15000000</v>
      </c>
      <c r="EC13" s="47">
        <f t="shared" si="16"/>
        <v>15000000</v>
      </c>
      <c r="ED13" s="47">
        <f t="shared" si="17"/>
        <v>15000000</v>
      </c>
    </row>
    <row r="14" spans="1:134" ht="18" customHeight="1" x14ac:dyDescent="0.3">
      <c r="A14" s="48"/>
      <c r="B14" s="54" t="s">
        <v>70</v>
      </c>
      <c r="C14" s="55" t="s">
        <v>71</v>
      </c>
      <c r="D14" s="39" t="s">
        <v>72</v>
      </c>
      <c r="E14" s="40">
        <v>310</v>
      </c>
      <c r="F14" s="41" t="s">
        <v>53</v>
      </c>
      <c r="G14" s="42">
        <f t="shared" si="0"/>
        <v>150000000</v>
      </c>
      <c r="H14" s="42"/>
      <c r="I14" s="42"/>
      <c r="J14" s="42"/>
      <c r="K14" s="42">
        <v>150000000</v>
      </c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3">
        <f t="shared" si="1"/>
        <v>1</v>
      </c>
      <c r="AF14" s="42">
        <f t="shared" si="2"/>
        <v>150000000</v>
      </c>
      <c r="AG14" s="42"/>
      <c r="AH14" s="42"/>
      <c r="AI14" s="42"/>
      <c r="AJ14" s="42">
        <f>+'[3]NOVIEMBRE 2019'!$L$694</f>
        <v>150000000</v>
      </c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3">
        <f t="shared" si="3"/>
        <v>0</v>
      </c>
      <c r="BE14" s="42">
        <f t="shared" si="4"/>
        <v>0</v>
      </c>
      <c r="BF14" s="42"/>
      <c r="BG14" s="42"/>
      <c r="BH14" s="42"/>
      <c r="BI14" s="42">
        <f t="shared" si="19"/>
        <v>0</v>
      </c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3">
        <f t="shared" si="8"/>
        <v>0.88006362000000005</v>
      </c>
      <c r="CD14" s="42">
        <f t="shared" si="9"/>
        <v>132009543</v>
      </c>
      <c r="CE14" s="42"/>
      <c r="CF14" s="42"/>
      <c r="CG14" s="42"/>
      <c r="CH14" s="42">
        <f>+'[3]NOVIEMBRE 2019'!$H$692</f>
        <v>132009543</v>
      </c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3">
        <f t="shared" si="10"/>
        <v>0.11993637999999995</v>
      </c>
      <c r="DC14" s="42">
        <f t="shared" si="11"/>
        <v>17990457</v>
      </c>
      <c r="DD14" s="42"/>
      <c r="DE14" s="42"/>
      <c r="DF14" s="42"/>
      <c r="DG14" s="42">
        <f t="shared" si="12"/>
        <v>17990457</v>
      </c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B14" s="47">
        <f t="shared" si="15"/>
        <v>150000000</v>
      </c>
      <c r="EC14" s="47">
        <f t="shared" si="16"/>
        <v>150000000</v>
      </c>
      <c r="ED14" s="47">
        <f t="shared" si="17"/>
        <v>150000000</v>
      </c>
    </row>
    <row r="15" spans="1:134" ht="43.2" customHeight="1" x14ac:dyDescent="0.3">
      <c r="A15" s="48"/>
      <c r="B15" s="56"/>
      <c r="C15" s="55" t="s">
        <v>73</v>
      </c>
      <c r="D15" s="50" t="s">
        <v>74</v>
      </c>
      <c r="E15" s="40">
        <v>310</v>
      </c>
      <c r="F15" s="41" t="s">
        <v>53</v>
      </c>
      <c r="G15" s="42">
        <f t="shared" si="0"/>
        <v>100000000</v>
      </c>
      <c r="H15" s="42"/>
      <c r="I15" s="42">
        <v>100000000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>
        <f t="shared" si="1"/>
        <v>1</v>
      </c>
      <c r="AF15" s="42">
        <f t="shared" si="2"/>
        <v>100000000</v>
      </c>
      <c r="AG15" s="42"/>
      <c r="AH15" s="42">
        <f>+'[6]MARZO 2019'!$K$156</f>
        <v>100000000</v>
      </c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3">
        <f t="shared" si="3"/>
        <v>0</v>
      </c>
      <c r="BE15" s="42">
        <f t="shared" si="4"/>
        <v>0</v>
      </c>
      <c r="BF15" s="42">
        <f>H15-AG15</f>
        <v>0</v>
      </c>
      <c r="BG15" s="42">
        <f>I15-AH15</f>
        <v>0</v>
      </c>
      <c r="BH15" s="42">
        <f>J15-AI15</f>
        <v>0</v>
      </c>
      <c r="BI15" s="42">
        <f t="shared" si="19"/>
        <v>0</v>
      </c>
      <c r="BJ15" s="42">
        <f t="shared" ref="BJ15:BZ15" si="21">L15-AK15</f>
        <v>0</v>
      </c>
      <c r="BK15" s="42">
        <f t="shared" si="21"/>
        <v>0</v>
      </c>
      <c r="BL15" s="42">
        <f t="shared" si="21"/>
        <v>0</v>
      </c>
      <c r="BM15" s="42">
        <f t="shared" si="21"/>
        <v>0</v>
      </c>
      <c r="BN15" s="42">
        <f t="shared" si="21"/>
        <v>0</v>
      </c>
      <c r="BO15" s="42">
        <f t="shared" si="21"/>
        <v>0</v>
      </c>
      <c r="BP15" s="42">
        <f t="shared" si="21"/>
        <v>0</v>
      </c>
      <c r="BQ15" s="42">
        <f t="shared" si="21"/>
        <v>0</v>
      </c>
      <c r="BR15" s="42">
        <f t="shared" si="21"/>
        <v>0</v>
      </c>
      <c r="BS15" s="42">
        <f t="shared" si="21"/>
        <v>0</v>
      </c>
      <c r="BT15" s="42">
        <f t="shared" si="21"/>
        <v>0</v>
      </c>
      <c r="BU15" s="42">
        <f t="shared" si="21"/>
        <v>0</v>
      </c>
      <c r="BV15" s="42">
        <f t="shared" si="21"/>
        <v>0</v>
      </c>
      <c r="BW15" s="42">
        <f t="shared" si="21"/>
        <v>0</v>
      </c>
      <c r="BX15" s="42">
        <f t="shared" si="21"/>
        <v>0</v>
      </c>
      <c r="BY15" s="42">
        <f t="shared" si="21"/>
        <v>0</v>
      </c>
      <c r="BZ15" s="42">
        <f t="shared" si="21"/>
        <v>0</v>
      </c>
      <c r="CA15" s="42"/>
      <c r="CB15" s="42">
        <f>AD15-BC15</f>
        <v>0</v>
      </c>
      <c r="CC15" s="43">
        <f t="shared" si="8"/>
        <v>0.61713333000000004</v>
      </c>
      <c r="CD15" s="42">
        <f t="shared" si="9"/>
        <v>61713333</v>
      </c>
      <c r="CE15" s="42"/>
      <c r="CF15" s="42">
        <f>+'[3]NOVIEMBRE 2019'!$H$649</f>
        <v>61713333</v>
      </c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3">
        <f t="shared" si="10"/>
        <v>0.38286666999999996</v>
      </c>
      <c r="DC15" s="42">
        <f t="shared" si="11"/>
        <v>38286667</v>
      </c>
      <c r="DD15" s="42">
        <f>H15-CE15</f>
        <v>0</v>
      </c>
      <c r="DE15" s="42">
        <f>I15-CF15</f>
        <v>38286667</v>
      </c>
      <c r="DF15" s="42">
        <f>J15-CG15</f>
        <v>0</v>
      </c>
      <c r="DG15" s="42">
        <f t="shared" si="12"/>
        <v>0</v>
      </c>
      <c r="DH15" s="42">
        <f t="shared" si="12"/>
        <v>0</v>
      </c>
      <c r="DI15" s="42">
        <f t="shared" si="12"/>
        <v>0</v>
      </c>
      <c r="DJ15" s="42">
        <f t="shared" si="12"/>
        <v>0</v>
      </c>
      <c r="DK15" s="42">
        <f t="shared" si="12"/>
        <v>0</v>
      </c>
      <c r="DL15" s="42">
        <f t="shared" si="12"/>
        <v>0</v>
      </c>
      <c r="DM15" s="42">
        <f t="shared" si="12"/>
        <v>0</v>
      </c>
      <c r="DN15" s="42">
        <f t="shared" si="12"/>
        <v>0</v>
      </c>
      <c r="DO15" s="42">
        <f t="shared" si="12"/>
        <v>0</v>
      </c>
      <c r="DP15" s="42">
        <f t="shared" si="12"/>
        <v>0</v>
      </c>
      <c r="DQ15" s="42">
        <f t="shared" si="12"/>
        <v>0</v>
      </c>
      <c r="DR15" s="42">
        <f t="shared" si="12"/>
        <v>0</v>
      </c>
      <c r="DS15" s="42">
        <f t="shared" si="12"/>
        <v>0</v>
      </c>
      <c r="DT15" s="42">
        <f t="shared" ref="DT15:DX15" si="22">X15-CU15</f>
        <v>0</v>
      </c>
      <c r="DU15" s="42">
        <f t="shared" si="22"/>
        <v>0</v>
      </c>
      <c r="DV15" s="42">
        <f t="shared" si="22"/>
        <v>0</v>
      </c>
      <c r="DW15" s="42">
        <f t="shared" si="22"/>
        <v>0</v>
      </c>
      <c r="DX15" s="42">
        <f t="shared" si="22"/>
        <v>0</v>
      </c>
      <c r="DY15" s="42"/>
      <c r="DZ15" s="42">
        <f>AD15-DA15</f>
        <v>0</v>
      </c>
      <c r="EB15" s="47">
        <f t="shared" si="15"/>
        <v>100000000</v>
      </c>
      <c r="EC15" s="47">
        <f t="shared" si="16"/>
        <v>100000000</v>
      </c>
      <c r="ED15" s="47">
        <f t="shared" si="17"/>
        <v>100000000</v>
      </c>
    </row>
    <row r="16" spans="1:134" ht="17.399999999999999" customHeight="1" x14ac:dyDescent="0.3">
      <c r="A16" s="48"/>
      <c r="B16" s="56"/>
      <c r="C16" s="38" t="s">
        <v>75</v>
      </c>
      <c r="D16" s="50" t="s">
        <v>76</v>
      </c>
      <c r="E16" s="40">
        <v>310</v>
      </c>
      <c r="F16" s="41" t="s">
        <v>53</v>
      </c>
      <c r="G16" s="42">
        <f t="shared" si="0"/>
        <v>150000000</v>
      </c>
      <c r="H16" s="42"/>
      <c r="I16" s="42"/>
      <c r="J16" s="42"/>
      <c r="K16" s="42">
        <v>150000000</v>
      </c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3"/>
      <c r="AF16" s="42">
        <f t="shared" si="2"/>
        <v>150000000</v>
      </c>
      <c r="AG16" s="42"/>
      <c r="AH16" s="42"/>
      <c r="AI16" s="42"/>
      <c r="AJ16" s="42">
        <f>+'[3]NOVIEMBRE 2019'!$G$996</f>
        <v>150000000</v>
      </c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3">
        <f t="shared" si="3"/>
        <v>1</v>
      </c>
      <c r="BE16" s="42">
        <f t="shared" si="4"/>
        <v>0</v>
      </c>
      <c r="BF16" s="42"/>
      <c r="BG16" s="42"/>
      <c r="BH16" s="42"/>
      <c r="BI16" s="42">
        <f t="shared" si="19"/>
        <v>0</v>
      </c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3">
        <f t="shared" si="8"/>
        <v>0</v>
      </c>
      <c r="CD16" s="42">
        <f t="shared" si="9"/>
        <v>0</v>
      </c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3">
        <f t="shared" si="10"/>
        <v>1</v>
      </c>
      <c r="DC16" s="42">
        <f t="shared" si="11"/>
        <v>150000000</v>
      </c>
      <c r="DD16" s="42"/>
      <c r="DE16" s="42"/>
      <c r="DF16" s="42"/>
      <c r="DG16" s="42">
        <f t="shared" si="12"/>
        <v>150000000</v>
      </c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B16" s="47">
        <f t="shared" si="15"/>
        <v>150000000</v>
      </c>
      <c r="EC16" s="47">
        <f t="shared" si="16"/>
        <v>150000000</v>
      </c>
      <c r="ED16" s="47">
        <f t="shared" si="17"/>
        <v>150000000</v>
      </c>
    </row>
    <row r="17" spans="1:136" ht="16.8" customHeight="1" x14ac:dyDescent="0.3">
      <c r="A17" s="48"/>
      <c r="B17" s="56"/>
      <c r="C17" s="38" t="s">
        <v>77</v>
      </c>
      <c r="D17" s="39" t="s">
        <v>78</v>
      </c>
      <c r="E17" s="40">
        <v>310</v>
      </c>
      <c r="F17" s="57" t="s">
        <v>79</v>
      </c>
      <c r="G17" s="42">
        <f t="shared" si="0"/>
        <v>419000000</v>
      </c>
      <c r="H17" s="42"/>
      <c r="I17" s="42">
        <v>290000000</v>
      </c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>
        <v>54000000</v>
      </c>
      <c r="Z17" s="42"/>
      <c r="AA17" s="42"/>
      <c r="AB17" s="42"/>
      <c r="AC17" s="42"/>
      <c r="AD17" s="42">
        <f>50000000+15000000+10000000+5000000-5000000</f>
        <v>75000000</v>
      </c>
      <c r="AE17" s="43">
        <f t="shared" ref="AE17:AE29" si="23">+AF17/G17</f>
        <v>0.85993631980906926</v>
      </c>
      <c r="AF17" s="42">
        <f t="shared" ref="AF17:AF38" si="24">SUM(AG17:BC17)</f>
        <v>360313318</v>
      </c>
      <c r="AG17" s="42"/>
      <c r="AH17" s="42">
        <f>+'[1]OCTUBRE 2019'!$K$610</f>
        <v>285345383</v>
      </c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>
        <f>+'[3]NOVIEMBRE 2019'!$AA$701</f>
        <v>20000000</v>
      </c>
      <c r="AY17" s="42"/>
      <c r="AZ17" s="42"/>
      <c r="BA17" s="42"/>
      <c r="BB17" s="42"/>
      <c r="BC17" s="42">
        <f>+'[3]NOVIEMBRE 2019'!$AG$701</f>
        <v>54967935</v>
      </c>
      <c r="BD17" s="43">
        <f t="shared" si="3"/>
        <v>0.14006368019093074</v>
      </c>
      <c r="BE17" s="42">
        <f t="shared" si="4"/>
        <v>58686682</v>
      </c>
      <c r="BF17" s="42">
        <f t="shared" ref="BF17:BH38" si="25">H17-AG17</f>
        <v>0</v>
      </c>
      <c r="BG17" s="42">
        <f t="shared" si="25"/>
        <v>4654617</v>
      </c>
      <c r="BH17" s="42">
        <f t="shared" si="25"/>
        <v>0</v>
      </c>
      <c r="BI17" s="42">
        <f t="shared" si="19"/>
        <v>0</v>
      </c>
      <c r="BJ17" s="42">
        <f t="shared" ref="BJ17:BY32" si="26">L17-AK17</f>
        <v>0</v>
      </c>
      <c r="BK17" s="42">
        <f t="shared" si="26"/>
        <v>0</v>
      </c>
      <c r="BL17" s="42">
        <f t="shared" si="26"/>
        <v>0</v>
      </c>
      <c r="BM17" s="42">
        <f t="shared" si="26"/>
        <v>0</v>
      </c>
      <c r="BN17" s="42">
        <f t="shared" si="26"/>
        <v>0</v>
      </c>
      <c r="BO17" s="42">
        <f t="shared" si="26"/>
        <v>0</v>
      </c>
      <c r="BP17" s="42">
        <f t="shared" si="26"/>
        <v>0</v>
      </c>
      <c r="BQ17" s="42">
        <f t="shared" si="26"/>
        <v>0</v>
      </c>
      <c r="BR17" s="42">
        <f t="shared" si="26"/>
        <v>0</v>
      </c>
      <c r="BS17" s="42">
        <f t="shared" si="26"/>
        <v>0</v>
      </c>
      <c r="BT17" s="42">
        <f t="shared" si="26"/>
        <v>0</v>
      </c>
      <c r="BU17" s="42">
        <f t="shared" si="26"/>
        <v>0</v>
      </c>
      <c r="BV17" s="42">
        <f t="shared" si="26"/>
        <v>0</v>
      </c>
      <c r="BW17" s="42">
        <f t="shared" si="26"/>
        <v>34000000</v>
      </c>
      <c r="BX17" s="42">
        <f t="shared" si="26"/>
        <v>0</v>
      </c>
      <c r="BY17" s="42">
        <f t="shared" si="26"/>
        <v>0</v>
      </c>
      <c r="BZ17" s="42">
        <f t="shared" ref="BZ17:BZ38" si="27">AB17-BA17</f>
        <v>0</v>
      </c>
      <c r="CA17" s="42"/>
      <c r="CB17" s="42">
        <f t="shared" ref="CB17:CB38" si="28">AD17-BC17</f>
        <v>20032065</v>
      </c>
      <c r="CC17" s="43">
        <f t="shared" si="8"/>
        <v>0.75703800238663488</v>
      </c>
      <c r="CD17" s="42">
        <f t="shared" si="9"/>
        <v>317198923</v>
      </c>
      <c r="CE17" s="42"/>
      <c r="CF17" s="42">
        <f>+'[3]NOVIEMBRE 2019'!$H$699-CV17-DA17</f>
        <v>278730988</v>
      </c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>
        <f>+'[3]NOVIEMBRE 2019'!$H$991</f>
        <v>3500000</v>
      </c>
      <c r="CW17" s="42"/>
      <c r="CX17" s="42"/>
      <c r="CY17" s="42"/>
      <c r="CZ17" s="42"/>
      <c r="DA17" s="42">
        <f>+'[3]NOVIEMBRE 2019'!$H$703+'[3]NOVIEMBRE 2019'!$H$705+'[3]NOVIEMBRE 2019'!$H$712+'[3]NOVIEMBRE 2019'!$H$715+'[3]NOVIEMBRE 2019'!$H$971+'[3]NOVIEMBRE 2019'!$H$973+'[3]NOVIEMBRE 2019'!$H$974+'[3]NOVIEMBRE 2019'!$H$976+'[3]NOVIEMBRE 2019'!$H$977+'[3]NOVIEMBRE 2019'!$H$980+'[3]NOVIEMBRE 2019'!$H$983+'[3]NOVIEMBRE 2019'!$H$984+'[3]NOVIEMBRE 2019'!$H$985+'[3]NOVIEMBRE 2019'!$H$986+'[3]NOVIEMBRE 2019'!$H$987+'[3]NOVIEMBRE 2019'!$H$988+'[3]NOVIEMBRE 2019'!$H$989+'[3]NOVIEMBRE 2019'!$H$990</f>
        <v>34967935</v>
      </c>
      <c r="DB17" s="43">
        <f t="shared" si="10"/>
        <v>0.24296199761336512</v>
      </c>
      <c r="DC17" s="42">
        <f t="shared" si="11"/>
        <v>101801077</v>
      </c>
      <c r="DD17" s="42">
        <f t="shared" ref="DD17:DS35" si="29">H17-CE17</f>
        <v>0</v>
      </c>
      <c r="DE17" s="42">
        <f t="shared" si="29"/>
        <v>11269012</v>
      </c>
      <c r="DF17" s="42">
        <f t="shared" si="29"/>
        <v>0</v>
      </c>
      <c r="DG17" s="42">
        <f t="shared" si="12"/>
        <v>0</v>
      </c>
      <c r="DH17" s="42">
        <f t="shared" si="12"/>
        <v>0</v>
      </c>
      <c r="DI17" s="42">
        <f t="shared" si="12"/>
        <v>0</v>
      </c>
      <c r="DJ17" s="42">
        <f t="shared" si="12"/>
        <v>0</v>
      </c>
      <c r="DK17" s="42">
        <f t="shared" si="12"/>
        <v>0</v>
      </c>
      <c r="DL17" s="42">
        <f t="shared" si="12"/>
        <v>0</v>
      </c>
      <c r="DM17" s="42">
        <f t="shared" si="12"/>
        <v>0</v>
      </c>
      <c r="DN17" s="42">
        <f t="shared" si="12"/>
        <v>0</v>
      </c>
      <c r="DO17" s="42">
        <f t="shared" si="12"/>
        <v>0</v>
      </c>
      <c r="DP17" s="42">
        <f t="shared" si="12"/>
        <v>0</v>
      </c>
      <c r="DQ17" s="42">
        <f t="shared" si="12"/>
        <v>0</v>
      </c>
      <c r="DR17" s="42">
        <f t="shared" si="12"/>
        <v>0</v>
      </c>
      <c r="DS17" s="42">
        <f t="shared" si="12"/>
        <v>0</v>
      </c>
      <c r="DT17" s="42">
        <f t="shared" ref="DT17:DX38" si="30">X17-CU17</f>
        <v>0</v>
      </c>
      <c r="DU17" s="42">
        <f t="shared" si="30"/>
        <v>50500000</v>
      </c>
      <c r="DV17" s="42">
        <f t="shared" si="30"/>
        <v>0</v>
      </c>
      <c r="DW17" s="42">
        <f t="shared" si="30"/>
        <v>0</v>
      </c>
      <c r="DX17" s="42">
        <f t="shared" si="30"/>
        <v>0</v>
      </c>
      <c r="DY17" s="42"/>
      <c r="DZ17" s="42">
        <f t="shared" ref="DZ17:DZ38" si="31">AD17-DA17</f>
        <v>40032065</v>
      </c>
      <c r="EB17" s="47">
        <f t="shared" si="15"/>
        <v>419000000</v>
      </c>
      <c r="EC17" s="47">
        <f t="shared" si="16"/>
        <v>419000000</v>
      </c>
      <c r="ED17" s="47">
        <f t="shared" si="17"/>
        <v>419000000</v>
      </c>
    </row>
    <row r="18" spans="1:136" ht="18.600000000000001" customHeight="1" x14ac:dyDescent="0.3">
      <c r="A18" s="48"/>
      <c r="B18" s="56"/>
      <c r="C18" s="38" t="s">
        <v>80</v>
      </c>
      <c r="D18" s="39" t="s">
        <v>81</v>
      </c>
      <c r="E18" s="40">
        <v>310</v>
      </c>
      <c r="F18" s="41" t="s">
        <v>53</v>
      </c>
      <c r="G18" s="42">
        <f t="shared" si="0"/>
        <v>45000000</v>
      </c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>
        <v>45000000</v>
      </c>
      <c r="Y18" s="42"/>
      <c r="Z18" s="42"/>
      <c r="AA18" s="42"/>
      <c r="AB18" s="42"/>
      <c r="AC18" s="42"/>
      <c r="AD18" s="42"/>
      <c r="AE18" s="43">
        <f t="shared" si="23"/>
        <v>0.93711111111111112</v>
      </c>
      <c r="AF18" s="42">
        <f t="shared" si="24"/>
        <v>42170000</v>
      </c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>
        <f>+'[7]MAYO 2019'!$Y$322</f>
        <v>42170000</v>
      </c>
      <c r="AX18" s="42"/>
      <c r="AY18" s="42"/>
      <c r="AZ18" s="42"/>
      <c r="BA18" s="42"/>
      <c r="BB18" s="42"/>
      <c r="BC18" s="42"/>
      <c r="BD18" s="43">
        <f t="shared" si="3"/>
        <v>6.2888888888888883E-2</v>
      </c>
      <c r="BE18" s="42">
        <f t="shared" si="4"/>
        <v>2830000</v>
      </c>
      <c r="BF18" s="42">
        <f t="shared" si="25"/>
        <v>0</v>
      </c>
      <c r="BG18" s="42">
        <f t="shared" si="25"/>
        <v>0</v>
      </c>
      <c r="BH18" s="42">
        <f t="shared" si="25"/>
        <v>0</v>
      </c>
      <c r="BI18" s="42">
        <f t="shared" si="19"/>
        <v>0</v>
      </c>
      <c r="BJ18" s="42">
        <f t="shared" si="26"/>
        <v>0</v>
      </c>
      <c r="BK18" s="42">
        <f t="shared" si="26"/>
        <v>0</v>
      </c>
      <c r="BL18" s="42">
        <f t="shared" si="26"/>
        <v>0</v>
      </c>
      <c r="BM18" s="42">
        <f t="shared" si="26"/>
        <v>0</v>
      </c>
      <c r="BN18" s="42">
        <f t="shared" si="26"/>
        <v>0</v>
      </c>
      <c r="BO18" s="42">
        <f t="shared" si="26"/>
        <v>0</v>
      </c>
      <c r="BP18" s="42">
        <f t="shared" si="26"/>
        <v>0</v>
      </c>
      <c r="BQ18" s="42">
        <f t="shared" si="26"/>
        <v>0</v>
      </c>
      <c r="BR18" s="42">
        <f t="shared" si="26"/>
        <v>0</v>
      </c>
      <c r="BS18" s="42">
        <f t="shared" si="26"/>
        <v>0</v>
      </c>
      <c r="BT18" s="42">
        <f t="shared" si="26"/>
        <v>0</v>
      </c>
      <c r="BU18" s="42">
        <f t="shared" si="26"/>
        <v>0</v>
      </c>
      <c r="BV18" s="42">
        <f t="shared" si="26"/>
        <v>2830000</v>
      </c>
      <c r="BW18" s="42">
        <f t="shared" si="26"/>
        <v>0</v>
      </c>
      <c r="BX18" s="42">
        <f t="shared" si="26"/>
        <v>0</v>
      </c>
      <c r="BY18" s="42">
        <f t="shared" si="26"/>
        <v>0</v>
      </c>
      <c r="BZ18" s="42">
        <f t="shared" si="27"/>
        <v>0</v>
      </c>
      <c r="CA18" s="42"/>
      <c r="CB18" s="42">
        <f t="shared" si="28"/>
        <v>0</v>
      </c>
      <c r="CC18" s="43">
        <f t="shared" si="8"/>
        <v>0.90322222222222226</v>
      </c>
      <c r="CD18" s="42">
        <f t="shared" si="9"/>
        <v>40645000</v>
      </c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>
        <f>+'[8]AGOSTO 2019'!$H$581</f>
        <v>40645000</v>
      </c>
      <c r="CV18" s="42"/>
      <c r="CW18" s="42"/>
      <c r="CX18" s="42"/>
      <c r="CY18" s="42"/>
      <c r="CZ18" s="42"/>
      <c r="DA18" s="42"/>
      <c r="DB18" s="43">
        <f t="shared" si="10"/>
        <v>9.677777777777774E-2</v>
      </c>
      <c r="DC18" s="42">
        <f t="shared" si="11"/>
        <v>4355000</v>
      </c>
      <c r="DD18" s="42">
        <f t="shared" si="29"/>
        <v>0</v>
      </c>
      <c r="DE18" s="42">
        <f t="shared" si="29"/>
        <v>0</v>
      </c>
      <c r="DF18" s="42">
        <f t="shared" si="29"/>
        <v>0</v>
      </c>
      <c r="DG18" s="42">
        <f t="shared" si="12"/>
        <v>0</v>
      </c>
      <c r="DH18" s="42">
        <f t="shared" si="12"/>
        <v>0</v>
      </c>
      <c r="DI18" s="42">
        <f t="shared" si="12"/>
        <v>0</v>
      </c>
      <c r="DJ18" s="42">
        <f t="shared" si="12"/>
        <v>0</v>
      </c>
      <c r="DK18" s="42">
        <f t="shared" si="12"/>
        <v>0</v>
      </c>
      <c r="DL18" s="42">
        <f t="shared" si="12"/>
        <v>0</v>
      </c>
      <c r="DM18" s="42">
        <f t="shared" si="12"/>
        <v>0</v>
      </c>
      <c r="DN18" s="42">
        <f t="shared" si="12"/>
        <v>0</v>
      </c>
      <c r="DO18" s="42">
        <f t="shared" si="12"/>
        <v>0</v>
      </c>
      <c r="DP18" s="42">
        <f t="shared" si="12"/>
        <v>0</v>
      </c>
      <c r="DQ18" s="42">
        <f t="shared" si="12"/>
        <v>0</v>
      </c>
      <c r="DR18" s="42">
        <f t="shared" si="12"/>
        <v>0</v>
      </c>
      <c r="DS18" s="42">
        <f t="shared" si="12"/>
        <v>0</v>
      </c>
      <c r="DT18" s="42">
        <f t="shared" si="30"/>
        <v>4355000</v>
      </c>
      <c r="DU18" s="42">
        <f t="shared" si="30"/>
        <v>0</v>
      </c>
      <c r="DV18" s="42">
        <f t="shared" si="30"/>
        <v>0</v>
      </c>
      <c r="DW18" s="42">
        <f t="shared" si="30"/>
        <v>0</v>
      </c>
      <c r="DX18" s="42">
        <f t="shared" si="30"/>
        <v>0</v>
      </c>
      <c r="DY18" s="42"/>
      <c r="DZ18" s="42">
        <f t="shared" si="31"/>
        <v>0</v>
      </c>
      <c r="EB18" s="47">
        <f t="shared" si="15"/>
        <v>45000000</v>
      </c>
      <c r="EC18" s="47">
        <f t="shared" si="16"/>
        <v>45000000</v>
      </c>
      <c r="ED18" s="47">
        <f t="shared" si="17"/>
        <v>45000000</v>
      </c>
    </row>
    <row r="19" spans="1:136" ht="20.399999999999999" customHeight="1" x14ac:dyDescent="0.3">
      <c r="A19" s="48"/>
      <c r="B19" s="56"/>
      <c r="C19" s="38" t="s">
        <v>82</v>
      </c>
      <c r="D19" s="39" t="s">
        <v>83</v>
      </c>
      <c r="E19" s="40">
        <v>310</v>
      </c>
      <c r="F19" s="41" t="s">
        <v>53</v>
      </c>
      <c r="G19" s="42">
        <f t="shared" si="0"/>
        <v>4000000</v>
      </c>
      <c r="H19" s="58"/>
      <c r="I19" s="42"/>
      <c r="J19" s="42"/>
      <c r="K19" s="42"/>
      <c r="L19" s="42"/>
      <c r="M19" s="58"/>
      <c r="N19" s="42"/>
      <c r="O19" s="42"/>
      <c r="P19" s="58"/>
      <c r="Q19" s="58"/>
      <c r="R19" s="58"/>
      <c r="S19" s="58"/>
      <c r="T19" s="58"/>
      <c r="U19" s="58"/>
      <c r="V19" s="58"/>
      <c r="W19" s="58"/>
      <c r="X19" s="42">
        <v>4000000</v>
      </c>
      <c r="Y19" s="42"/>
      <c r="Z19" s="58"/>
      <c r="AA19" s="58"/>
      <c r="AB19" s="58"/>
      <c r="AC19" s="58"/>
      <c r="AD19" s="42"/>
      <c r="AE19" s="43">
        <f t="shared" si="23"/>
        <v>0</v>
      </c>
      <c r="AF19" s="42">
        <f t="shared" si="24"/>
        <v>0</v>
      </c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3">
        <f t="shared" si="3"/>
        <v>1</v>
      </c>
      <c r="BE19" s="42">
        <f t="shared" si="4"/>
        <v>4000000</v>
      </c>
      <c r="BF19" s="42">
        <f t="shared" si="25"/>
        <v>0</v>
      </c>
      <c r="BG19" s="42">
        <f t="shared" si="25"/>
        <v>0</v>
      </c>
      <c r="BH19" s="42">
        <f t="shared" si="25"/>
        <v>0</v>
      </c>
      <c r="BI19" s="42">
        <f t="shared" si="19"/>
        <v>0</v>
      </c>
      <c r="BJ19" s="42">
        <f t="shared" si="26"/>
        <v>0</v>
      </c>
      <c r="BK19" s="42">
        <f t="shared" si="26"/>
        <v>0</v>
      </c>
      <c r="BL19" s="42">
        <f t="shared" si="26"/>
        <v>0</v>
      </c>
      <c r="BM19" s="42">
        <f t="shared" si="26"/>
        <v>0</v>
      </c>
      <c r="BN19" s="42">
        <f t="shared" si="26"/>
        <v>0</v>
      </c>
      <c r="BO19" s="42">
        <f t="shared" si="26"/>
        <v>0</v>
      </c>
      <c r="BP19" s="42">
        <f t="shared" si="26"/>
        <v>0</v>
      </c>
      <c r="BQ19" s="42">
        <f t="shared" si="26"/>
        <v>0</v>
      </c>
      <c r="BR19" s="42">
        <f t="shared" si="26"/>
        <v>0</v>
      </c>
      <c r="BS19" s="42">
        <f t="shared" si="26"/>
        <v>0</v>
      </c>
      <c r="BT19" s="42">
        <f t="shared" si="26"/>
        <v>0</v>
      </c>
      <c r="BU19" s="42">
        <f t="shared" si="26"/>
        <v>0</v>
      </c>
      <c r="BV19" s="42">
        <f t="shared" si="26"/>
        <v>4000000</v>
      </c>
      <c r="BW19" s="42">
        <f t="shared" si="26"/>
        <v>0</v>
      </c>
      <c r="BX19" s="42">
        <f t="shared" si="26"/>
        <v>0</v>
      </c>
      <c r="BY19" s="42">
        <f t="shared" si="26"/>
        <v>0</v>
      </c>
      <c r="BZ19" s="42">
        <f t="shared" si="27"/>
        <v>0</v>
      </c>
      <c r="CA19" s="42"/>
      <c r="CB19" s="42">
        <f t="shared" si="28"/>
        <v>0</v>
      </c>
      <c r="CC19" s="43">
        <f t="shared" si="8"/>
        <v>0</v>
      </c>
      <c r="CD19" s="42">
        <f t="shared" si="9"/>
        <v>0</v>
      </c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3">
        <f t="shared" si="10"/>
        <v>1</v>
      </c>
      <c r="DC19" s="42">
        <f t="shared" si="11"/>
        <v>4000000</v>
      </c>
      <c r="DD19" s="42">
        <f t="shared" si="29"/>
        <v>0</v>
      </c>
      <c r="DE19" s="42">
        <f t="shared" si="29"/>
        <v>0</v>
      </c>
      <c r="DF19" s="42">
        <f t="shared" si="29"/>
        <v>0</v>
      </c>
      <c r="DG19" s="42">
        <f t="shared" si="12"/>
        <v>0</v>
      </c>
      <c r="DH19" s="42">
        <f t="shared" si="12"/>
        <v>0</v>
      </c>
      <c r="DI19" s="42">
        <f t="shared" si="12"/>
        <v>0</v>
      </c>
      <c r="DJ19" s="42">
        <f t="shared" si="12"/>
        <v>0</v>
      </c>
      <c r="DK19" s="42">
        <f t="shared" si="12"/>
        <v>0</v>
      </c>
      <c r="DL19" s="42">
        <f t="shared" si="12"/>
        <v>0</v>
      </c>
      <c r="DM19" s="42">
        <f t="shared" si="12"/>
        <v>0</v>
      </c>
      <c r="DN19" s="42">
        <f t="shared" si="12"/>
        <v>0</v>
      </c>
      <c r="DO19" s="42">
        <f t="shared" si="12"/>
        <v>0</v>
      </c>
      <c r="DP19" s="42">
        <f t="shared" si="12"/>
        <v>0</v>
      </c>
      <c r="DQ19" s="42">
        <f t="shared" si="12"/>
        <v>0</v>
      </c>
      <c r="DR19" s="42">
        <f t="shared" si="12"/>
        <v>0</v>
      </c>
      <c r="DS19" s="42">
        <f t="shared" si="12"/>
        <v>0</v>
      </c>
      <c r="DT19" s="42">
        <f t="shared" si="30"/>
        <v>4000000</v>
      </c>
      <c r="DU19" s="42">
        <f t="shared" si="30"/>
        <v>0</v>
      </c>
      <c r="DV19" s="42">
        <f t="shared" si="30"/>
        <v>0</v>
      </c>
      <c r="DW19" s="42">
        <f t="shared" si="30"/>
        <v>0</v>
      </c>
      <c r="DX19" s="42">
        <f t="shared" si="30"/>
        <v>0</v>
      </c>
      <c r="DY19" s="42"/>
      <c r="DZ19" s="42">
        <f t="shared" si="31"/>
        <v>0</v>
      </c>
      <c r="EB19" s="47">
        <f t="shared" si="15"/>
        <v>4000000</v>
      </c>
      <c r="EC19" s="47">
        <f t="shared" si="16"/>
        <v>4000000</v>
      </c>
      <c r="ED19" s="47">
        <f t="shared" si="17"/>
        <v>4000000</v>
      </c>
    </row>
    <row r="20" spans="1:136" ht="28.8" customHeight="1" x14ac:dyDescent="0.3">
      <c r="A20" s="48"/>
      <c r="B20" s="59"/>
      <c r="C20" s="38" t="s">
        <v>84</v>
      </c>
      <c r="D20" s="50" t="s">
        <v>85</v>
      </c>
      <c r="E20" s="40">
        <v>310</v>
      </c>
      <c r="F20" s="60" t="s">
        <v>86</v>
      </c>
      <c r="G20" s="42">
        <f t="shared" si="0"/>
        <v>42000000</v>
      </c>
      <c r="H20" s="58"/>
      <c r="I20" s="42"/>
      <c r="J20" s="42"/>
      <c r="K20" s="42"/>
      <c r="L20" s="42"/>
      <c r="M20" s="58"/>
      <c r="N20" s="42"/>
      <c r="O20" s="42"/>
      <c r="P20" s="58"/>
      <c r="Q20" s="58"/>
      <c r="R20" s="58"/>
      <c r="S20" s="58"/>
      <c r="T20" s="58"/>
      <c r="U20" s="58"/>
      <c r="V20" s="58"/>
      <c r="W20" s="58"/>
      <c r="X20" s="42">
        <v>27000000</v>
      </c>
      <c r="Y20" s="42"/>
      <c r="Z20" s="58"/>
      <c r="AA20" s="58"/>
      <c r="AB20" s="58"/>
      <c r="AC20" s="58"/>
      <c r="AD20" s="42">
        <v>15000000</v>
      </c>
      <c r="AE20" s="43">
        <f t="shared" si="23"/>
        <v>0.8571428571428571</v>
      </c>
      <c r="AF20" s="42">
        <f t="shared" si="24"/>
        <v>36000000</v>
      </c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>
        <f>+'[9]FEBRERO 2019'!$Y$159</f>
        <v>27000000</v>
      </c>
      <c r="AX20" s="42"/>
      <c r="AY20" s="42"/>
      <c r="AZ20" s="42"/>
      <c r="BA20" s="42"/>
      <c r="BB20" s="42"/>
      <c r="BC20" s="42">
        <f>+'[10]ENERO 2019'!$AF$154</f>
        <v>9000000</v>
      </c>
      <c r="BD20" s="43">
        <f t="shared" si="3"/>
        <v>0.1428571428571429</v>
      </c>
      <c r="BE20" s="42">
        <f t="shared" si="4"/>
        <v>6000000</v>
      </c>
      <c r="BF20" s="42">
        <f t="shared" si="25"/>
        <v>0</v>
      </c>
      <c r="BG20" s="42">
        <f t="shared" si="25"/>
        <v>0</v>
      </c>
      <c r="BH20" s="42">
        <f t="shared" si="25"/>
        <v>0</v>
      </c>
      <c r="BI20" s="42">
        <f t="shared" si="19"/>
        <v>0</v>
      </c>
      <c r="BJ20" s="42">
        <f t="shared" si="26"/>
        <v>0</v>
      </c>
      <c r="BK20" s="42">
        <f t="shared" si="26"/>
        <v>0</v>
      </c>
      <c r="BL20" s="42">
        <f t="shared" si="26"/>
        <v>0</v>
      </c>
      <c r="BM20" s="42">
        <f t="shared" si="26"/>
        <v>0</v>
      </c>
      <c r="BN20" s="42">
        <f t="shared" si="26"/>
        <v>0</v>
      </c>
      <c r="BO20" s="42">
        <f t="shared" si="26"/>
        <v>0</v>
      </c>
      <c r="BP20" s="42">
        <f t="shared" si="26"/>
        <v>0</v>
      </c>
      <c r="BQ20" s="42">
        <f t="shared" si="26"/>
        <v>0</v>
      </c>
      <c r="BR20" s="42">
        <f t="shared" si="26"/>
        <v>0</v>
      </c>
      <c r="BS20" s="42">
        <f t="shared" si="26"/>
        <v>0</v>
      </c>
      <c r="BT20" s="42">
        <f t="shared" si="26"/>
        <v>0</v>
      </c>
      <c r="BU20" s="42">
        <f t="shared" si="26"/>
        <v>0</v>
      </c>
      <c r="BV20" s="42">
        <f t="shared" si="26"/>
        <v>0</v>
      </c>
      <c r="BW20" s="42">
        <f t="shared" si="26"/>
        <v>0</v>
      </c>
      <c r="BX20" s="42">
        <f t="shared" si="26"/>
        <v>0</v>
      </c>
      <c r="BY20" s="42">
        <f t="shared" si="26"/>
        <v>0</v>
      </c>
      <c r="BZ20" s="42">
        <f t="shared" si="27"/>
        <v>0</v>
      </c>
      <c r="CA20" s="42"/>
      <c r="CB20" s="42">
        <f t="shared" si="28"/>
        <v>6000000</v>
      </c>
      <c r="CC20" s="43">
        <f t="shared" si="8"/>
        <v>0.27713773809523812</v>
      </c>
      <c r="CD20" s="42">
        <f t="shared" si="9"/>
        <v>11639785</v>
      </c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>
        <f>+'[3]NOVIEMBRE 2019'!$H$1051</f>
        <v>11639785</v>
      </c>
      <c r="CV20" s="42"/>
      <c r="CW20" s="42"/>
      <c r="CX20" s="42"/>
      <c r="CY20" s="42"/>
      <c r="CZ20" s="42"/>
      <c r="DA20" s="42"/>
      <c r="DB20" s="43">
        <f t="shared" si="10"/>
        <v>0.72286226190476188</v>
      </c>
      <c r="DC20" s="42">
        <f t="shared" si="11"/>
        <v>30360215</v>
      </c>
      <c r="DD20" s="42">
        <f t="shared" si="29"/>
        <v>0</v>
      </c>
      <c r="DE20" s="42">
        <f t="shared" si="29"/>
        <v>0</v>
      </c>
      <c r="DF20" s="42">
        <f t="shared" si="29"/>
        <v>0</v>
      </c>
      <c r="DG20" s="42">
        <f t="shared" si="29"/>
        <v>0</v>
      </c>
      <c r="DH20" s="42">
        <f t="shared" si="29"/>
        <v>0</v>
      </c>
      <c r="DI20" s="42">
        <f t="shared" si="29"/>
        <v>0</v>
      </c>
      <c r="DJ20" s="42">
        <f t="shared" si="29"/>
        <v>0</v>
      </c>
      <c r="DK20" s="42">
        <f t="shared" si="29"/>
        <v>0</v>
      </c>
      <c r="DL20" s="42">
        <f t="shared" si="29"/>
        <v>0</v>
      </c>
      <c r="DM20" s="42">
        <f t="shared" si="29"/>
        <v>0</v>
      </c>
      <c r="DN20" s="42">
        <f t="shared" si="29"/>
        <v>0</v>
      </c>
      <c r="DO20" s="42">
        <f t="shared" si="29"/>
        <v>0</v>
      </c>
      <c r="DP20" s="42">
        <f t="shared" si="29"/>
        <v>0</v>
      </c>
      <c r="DQ20" s="42">
        <f t="shared" si="29"/>
        <v>0</v>
      </c>
      <c r="DR20" s="42">
        <f t="shared" si="29"/>
        <v>0</v>
      </c>
      <c r="DS20" s="42">
        <f t="shared" si="29"/>
        <v>0</v>
      </c>
      <c r="DT20" s="42">
        <f t="shared" si="30"/>
        <v>15360215</v>
      </c>
      <c r="DU20" s="42">
        <f t="shared" si="30"/>
        <v>0</v>
      </c>
      <c r="DV20" s="42">
        <f t="shared" si="30"/>
        <v>0</v>
      </c>
      <c r="DW20" s="42">
        <f t="shared" si="30"/>
        <v>0</v>
      </c>
      <c r="DX20" s="42">
        <f t="shared" si="30"/>
        <v>0</v>
      </c>
      <c r="DY20" s="42"/>
      <c r="DZ20" s="42">
        <f t="shared" si="31"/>
        <v>15000000</v>
      </c>
      <c r="EB20" s="47">
        <f t="shared" si="15"/>
        <v>42000000</v>
      </c>
      <c r="EC20" s="47">
        <f t="shared" si="16"/>
        <v>42000000</v>
      </c>
      <c r="ED20" s="47">
        <f t="shared" si="17"/>
        <v>42000000</v>
      </c>
    </row>
    <row r="21" spans="1:136" ht="28.8" customHeight="1" x14ac:dyDescent="0.3">
      <c r="A21" s="48"/>
      <c r="B21" s="61" t="s">
        <v>87</v>
      </c>
      <c r="C21" s="55" t="s">
        <v>88</v>
      </c>
      <c r="D21" s="39" t="s">
        <v>89</v>
      </c>
      <c r="E21" s="40">
        <v>510</v>
      </c>
      <c r="F21" s="41" t="s">
        <v>53</v>
      </c>
      <c r="G21" s="42">
        <f t="shared" si="0"/>
        <v>100644090</v>
      </c>
      <c r="H21" s="42"/>
      <c r="I21" s="42">
        <v>80000000</v>
      </c>
      <c r="J21" s="42">
        <v>20644090</v>
      </c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3">
        <f t="shared" si="23"/>
        <v>1</v>
      </c>
      <c r="AF21" s="42">
        <f t="shared" si="24"/>
        <v>100644090</v>
      </c>
      <c r="AG21" s="42"/>
      <c r="AH21" s="42">
        <f>+'[8]AGOSTO 2019'!$K$2629</f>
        <v>80000000</v>
      </c>
      <c r="AI21" s="42">
        <f>+'[3]NOVIEMBRE 2019'!$N$3892</f>
        <v>20644090</v>
      </c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3">
        <f t="shared" si="3"/>
        <v>0</v>
      </c>
      <c r="BE21" s="42">
        <f t="shared" si="4"/>
        <v>0</v>
      </c>
      <c r="BF21" s="42">
        <f t="shared" si="25"/>
        <v>0</v>
      </c>
      <c r="BG21" s="42">
        <f t="shared" si="25"/>
        <v>0</v>
      </c>
      <c r="BH21" s="42">
        <f t="shared" si="25"/>
        <v>0</v>
      </c>
      <c r="BI21" s="42">
        <f t="shared" si="19"/>
        <v>0</v>
      </c>
      <c r="BJ21" s="42">
        <f t="shared" si="26"/>
        <v>0</v>
      </c>
      <c r="BK21" s="42">
        <f t="shared" si="26"/>
        <v>0</v>
      </c>
      <c r="BL21" s="42">
        <f t="shared" si="26"/>
        <v>0</v>
      </c>
      <c r="BM21" s="42">
        <f t="shared" si="26"/>
        <v>0</v>
      </c>
      <c r="BN21" s="42">
        <f t="shared" si="26"/>
        <v>0</v>
      </c>
      <c r="BO21" s="42">
        <f t="shared" si="26"/>
        <v>0</v>
      </c>
      <c r="BP21" s="42">
        <f t="shared" si="26"/>
        <v>0</v>
      </c>
      <c r="BQ21" s="42">
        <f t="shared" si="26"/>
        <v>0</v>
      </c>
      <c r="BR21" s="42">
        <f t="shared" si="26"/>
        <v>0</v>
      </c>
      <c r="BS21" s="42">
        <f t="shared" si="26"/>
        <v>0</v>
      </c>
      <c r="BT21" s="42">
        <f t="shared" si="26"/>
        <v>0</v>
      </c>
      <c r="BU21" s="42">
        <f t="shared" si="26"/>
        <v>0</v>
      </c>
      <c r="BV21" s="42">
        <f t="shared" si="26"/>
        <v>0</v>
      </c>
      <c r="BW21" s="42">
        <f t="shared" si="26"/>
        <v>0</v>
      </c>
      <c r="BX21" s="42">
        <f t="shared" si="26"/>
        <v>0</v>
      </c>
      <c r="BY21" s="42">
        <f t="shared" si="26"/>
        <v>0</v>
      </c>
      <c r="BZ21" s="42">
        <f t="shared" si="27"/>
        <v>0</v>
      </c>
      <c r="CA21" s="42"/>
      <c r="CB21" s="42">
        <f t="shared" si="28"/>
        <v>0</v>
      </c>
      <c r="CC21" s="43">
        <f t="shared" si="8"/>
        <v>0.82428456554180185</v>
      </c>
      <c r="CD21" s="42">
        <f t="shared" si="9"/>
        <v>82959370</v>
      </c>
      <c r="CE21" s="42"/>
      <c r="CF21" s="42">
        <f>+'[3]NOVIEMBRE 2019'!$H$3893+'[3]NOVIEMBRE 2019'!$H$3901+'[3]NOVIEMBRE 2019'!$H$3904+'[3]NOVIEMBRE 2019'!$H$3906+'[3]NOVIEMBRE 2019'!$H$3912+'[3]NOVIEMBRE 2019'!$H$3941</f>
        <v>80000000</v>
      </c>
      <c r="CG21" s="42">
        <f>+'[8]AGOSTO 2019'!$H$2673</f>
        <v>2959370</v>
      </c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3">
        <f t="shared" si="10"/>
        <v>0.17571543445819815</v>
      </c>
      <c r="DC21" s="42">
        <f t="shared" si="11"/>
        <v>17684720</v>
      </c>
      <c r="DD21" s="42">
        <f t="shared" si="29"/>
        <v>0</v>
      </c>
      <c r="DE21" s="42">
        <f t="shared" si="29"/>
        <v>0</v>
      </c>
      <c r="DF21" s="42">
        <f t="shared" si="29"/>
        <v>17684720</v>
      </c>
      <c r="DG21" s="42">
        <f t="shared" si="29"/>
        <v>0</v>
      </c>
      <c r="DH21" s="42">
        <f t="shared" si="29"/>
        <v>0</v>
      </c>
      <c r="DI21" s="42">
        <f t="shared" si="29"/>
        <v>0</v>
      </c>
      <c r="DJ21" s="42">
        <f t="shared" si="29"/>
        <v>0</v>
      </c>
      <c r="DK21" s="42">
        <f t="shared" si="29"/>
        <v>0</v>
      </c>
      <c r="DL21" s="42">
        <f t="shared" si="29"/>
        <v>0</v>
      </c>
      <c r="DM21" s="42">
        <f t="shared" si="29"/>
        <v>0</v>
      </c>
      <c r="DN21" s="42">
        <f t="shared" si="29"/>
        <v>0</v>
      </c>
      <c r="DO21" s="42">
        <f t="shared" si="29"/>
        <v>0</v>
      </c>
      <c r="DP21" s="42">
        <f t="shared" si="29"/>
        <v>0</v>
      </c>
      <c r="DQ21" s="42">
        <f t="shared" si="29"/>
        <v>0</v>
      </c>
      <c r="DR21" s="42">
        <f t="shared" si="29"/>
        <v>0</v>
      </c>
      <c r="DS21" s="42">
        <f t="shared" si="29"/>
        <v>0</v>
      </c>
      <c r="DT21" s="42">
        <f t="shared" si="30"/>
        <v>0</v>
      </c>
      <c r="DU21" s="42">
        <f t="shared" si="30"/>
        <v>0</v>
      </c>
      <c r="DV21" s="42">
        <f t="shared" si="30"/>
        <v>0</v>
      </c>
      <c r="DW21" s="42">
        <f t="shared" si="30"/>
        <v>0</v>
      </c>
      <c r="DX21" s="42">
        <f t="shared" si="30"/>
        <v>0</v>
      </c>
      <c r="DY21" s="42"/>
      <c r="DZ21" s="42">
        <f t="shared" si="31"/>
        <v>0</v>
      </c>
      <c r="EB21" s="47">
        <f t="shared" si="15"/>
        <v>100644090</v>
      </c>
      <c r="EC21" s="47">
        <f t="shared" si="16"/>
        <v>100644090</v>
      </c>
      <c r="ED21" s="47">
        <f t="shared" si="17"/>
        <v>100644090</v>
      </c>
    </row>
    <row r="22" spans="1:136" ht="29.4" customHeight="1" x14ac:dyDescent="0.3">
      <c r="A22" s="48"/>
      <c r="B22" s="62"/>
      <c r="C22" s="38" t="s">
        <v>90</v>
      </c>
      <c r="D22" s="39" t="s">
        <v>91</v>
      </c>
      <c r="E22" s="40">
        <v>510</v>
      </c>
      <c r="F22" s="41" t="s">
        <v>53</v>
      </c>
      <c r="G22" s="42">
        <f t="shared" si="0"/>
        <v>100000000</v>
      </c>
      <c r="H22" s="42"/>
      <c r="I22" s="42">
        <v>80000000</v>
      </c>
      <c r="J22" s="42">
        <v>20000000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3">
        <f t="shared" si="23"/>
        <v>1</v>
      </c>
      <c r="AF22" s="42">
        <f t="shared" si="24"/>
        <v>100000000</v>
      </c>
      <c r="AG22" s="42"/>
      <c r="AH22" s="42">
        <f>+'[9]FEBRERO 2019'!$K$965</f>
        <v>80000000</v>
      </c>
      <c r="AI22" s="42">
        <f>+'[1]OCTUBRE 2019'!$N$3530</f>
        <v>20000000</v>
      </c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3">
        <f t="shared" si="3"/>
        <v>0</v>
      </c>
      <c r="BE22" s="42">
        <f t="shared" si="4"/>
        <v>0</v>
      </c>
      <c r="BF22" s="42">
        <f t="shared" si="25"/>
        <v>0</v>
      </c>
      <c r="BG22" s="42">
        <f t="shared" si="25"/>
        <v>0</v>
      </c>
      <c r="BH22" s="42">
        <f t="shared" si="25"/>
        <v>0</v>
      </c>
      <c r="BI22" s="42">
        <f t="shared" si="19"/>
        <v>0</v>
      </c>
      <c r="BJ22" s="42">
        <f t="shared" si="26"/>
        <v>0</v>
      </c>
      <c r="BK22" s="42">
        <f t="shared" si="26"/>
        <v>0</v>
      </c>
      <c r="BL22" s="42">
        <f t="shared" si="26"/>
        <v>0</v>
      </c>
      <c r="BM22" s="42">
        <f t="shared" si="26"/>
        <v>0</v>
      </c>
      <c r="BN22" s="42">
        <f t="shared" si="26"/>
        <v>0</v>
      </c>
      <c r="BO22" s="42">
        <f t="shared" si="26"/>
        <v>0</v>
      </c>
      <c r="BP22" s="42">
        <f t="shared" si="26"/>
        <v>0</v>
      </c>
      <c r="BQ22" s="42">
        <f t="shared" si="26"/>
        <v>0</v>
      </c>
      <c r="BR22" s="42">
        <f t="shared" si="26"/>
        <v>0</v>
      </c>
      <c r="BS22" s="42">
        <f t="shared" si="26"/>
        <v>0</v>
      </c>
      <c r="BT22" s="42">
        <f t="shared" si="26"/>
        <v>0</v>
      </c>
      <c r="BU22" s="42">
        <f t="shared" si="26"/>
        <v>0</v>
      </c>
      <c r="BV22" s="42">
        <f t="shared" si="26"/>
        <v>0</v>
      </c>
      <c r="BW22" s="42">
        <f t="shared" si="26"/>
        <v>0</v>
      </c>
      <c r="BX22" s="42">
        <f t="shared" si="26"/>
        <v>0</v>
      </c>
      <c r="BY22" s="42">
        <f t="shared" si="26"/>
        <v>0</v>
      </c>
      <c r="BZ22" s="42">
        <f t="shared" si="27"/>
        <v>0</v>
      </c>
      <c r="CA22" s="42"/>
      <c r="CB22" s="42">
        <f t="shared" si="28"/>
        <v>0</v>
      </c>
      <c r="CC22" s="43">
        <f t="shared" si="8"/>
        <v>0.89449999999999996</v>
      </c>
      <c r="CD22" s="42">
        <f t="shared" si="9"/>
        <v>89450000</v>
      </c>
      <c r="CE22" s="42"/>
      <c r="CF22" s="42">
        <f>+'[3]NOVIEMBRE 2019'!$H$3948+'[3]NOVIEMBRE 2019'!$H$3955+'[3]NOVIEMBRE 2019'!$H$3972+'[3]NOVIEMBRE 2019'!$H$3975+'[3]NOVIEMBRE 2019'!$H$3978+'[3]NOVIEMBRE 2019'!$H$3981</f>
        <v>80000000</v>
      </c>
      <c r="CG22" s="42">
        <f>+'[1]OCTUBRE 2019'!$H$3565</f>
        <v>9450000</v>
      </c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3">
        <f t="shared" si="10"/>
        <v>0.10550000000000004</v>
      </c>
      <c r="DC22" s="42">
        <f t="shared" si="11"/>
        <v>10550000</v>
      </c>
      <c r="DD22" s="42">
        <f t="shared" si="29"/>
        <v>0</v>
      </c>
      <c r="DE22" s="42">
        <f t="shared" si="29"/>
        <v>0</v>
      </c>
      <c r="DF22" s="42">
        <f t="shared" si="29"/>
        <v>10550000</v>
      </c>
      <c r="DG22" s="42">
        <f t="shared" si="29"/>
        <v>0</v>
      </c>
      <c r="DH22" s="42">
        <f t="shared" si="29"/>
        <v>0</v>
      </c>
      <c r="DI22" s="42">
        <f t="shared" si="29"/>
        <v>0</v>
      </c>
      <c r="DJ22" s="42">
        <f t="shared" si="29"/>
        <v>0</v>
      </c>
      <c r="DK22" s="42">
        <f t="shared" si="29"/>
        <v>0</v>
      </c>
      <c r="DL22" s="42">
        <f t="shared" si="29"/>
        <v>0</v>
      </c>
      <c r="DM22" s="42">
        <f t="shared" si="29"/>
        <v>0</v>
      </c>
      <c r="DN22" s="42">
        <f t="shared" si="29"/>
        <v>0</v>
      </c>
      <c r="DO22" s="42">
        <f t="shared" si="29"/>
        <v>0</v>
      </c>
      <c r="DP22" s="42">
        <f t="shared" si="29"/>
        <v>0</v>
      </c>
      <c r="DQ22" s="42">
        <f t="shared" si="29"/>
        <v>0</v>
      </c>
      <c r="DR22" s="42">
        <f t="shared" si="29"/>
        <v>0</v>
      </c>
      <c r="DS22" s="42">
        <f t="shared" si="29"/>
        <v>0</v>
      </c>
      <c r="DT22" s="42">
        <f t="shared" si="30"/>
        <v>0</v>
      </c>
      <c r="DU22" s="42">
        <f t="shared" si="30"/>
        <v>0</v>
      </c>
      <c r="DV22" s="42">
        <f t="shared" si="30"/>
        <v>0</v>
      </c>
      <c r="DW22" s="42">
        <f t="shared" si="30"/>
        <v>0</v>
      </c>
      <c r="DX22" s="42">
        <f t="shared" si="30"/>
        <v>0</v>
      </c>
      <c r="DY22" s="42"/>
      <c r="DZ22" s="42">
        <f t="shared" si="31"/>
        <v>0</v>
      </c>
      <c r="EB22" s="47">
        <f t="shared" si="15"/>
        <v>100000000</v>
      </c>
      <c r="EC22" s="47">
        <f t="shared" si="16"/>
        <v>100000000</v>
      </c>
      <c r="ED22" s="47">
        <f t="shared" si="17"/>
        <v>100000000</v>
      </c>
    </row>
    <row r="23" spans="1:136" ht="42" customHeight="1" x14ac:dyDescent="0.3">
      <c r="A23" s="48"/>
      <c r="B23" s="62"/>
      <c r="C23" s="38" t="s">
        <v>92</v>
      </c>
      <c r="D23" s="39" t="s">
        <v>93</v>
      </c>
      <c r="E23" s="40">
        <v>510</v>
      </c>
      <c r="F23" s="41" t="s">
        <v>53</v>
      </c>
      <c r="G23" s="42">
        <f t="shared" si="0"/>
        <v>100000000</v>
      </c>
      <c r="H23" s="42"/>
      <c r="I23" s="42">
        <v>80000000</v>
      </c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3">
        <f t="shared" si="23"/>
        <v>1</v>
      </c>
      <c r="AF23" s="42">
        <f t="shared" si="24"/>
        <v>100000000</v>
      </c>
      <c r="AG23" s="42"/>
      <c r="AH23" s="42">
        <f>+'[6]MARZO 2019'!$K$1158</f>
        <v>80000000</v>
      </c>
      <c r="AI23" s="42">
        <f>+'[4]JULIO 2019'!$M$2379</f>
        <v>20000000</v>
      </c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3">
        <f t="shared" si="3"/>
        <v>0</v>
      </c>
      <c r="BE23" s="42">
        <f t="shared" si="4"/>
        <v>0</v>
      </c>
      <c r="BF23" s="42">
        <f t="shared" si="25"/>
        <v>0</v>
      </c>
      <c r="BG23" s="42">
        <f t="shared" si="25"/>
        <v>0</v>
      </c>
      <c r="BH23" s="42">
        <f t="shared" si="25"/>
        <v>0</v>
      </c>
      <c r="BI23" s="42">
        <f t="shared" si="19"/>
        <v>0</v>
      </c>
      <c r="BJ23" s="42">
        <f t="shared" si="26"/>
        <v>0</v>
      </c>
      <c r="BK23" s="42">
        <f t="shared" si="26"/>
        <v>0</v>
      </c>
      <c r="BL23" s="42">
        <f t="shared" si="26"/>
        <v>0</v>
      </c>
      <c r="BM23" s="42">
        <f t="shared" si="26"/>
        <v>0</v>
      </c>
      <c r="BN23" s="42">
        <f t="shared" si="26"/>
        <v>0</v>
      </c>
      <c r="BO23" s="42">
        <f t="shared" si="26"/>
        <v>0</v>
      </c>
      <c r="BP23" s="42">
        <f t="shared" si="26"/>
        <v>0</v>
      </c>
      <c r="BQ23" s="42">
        <f t="shared" si="26"/>
        <v>0</v>
      </c>
      <c r="BR23" s="42">
        <f t="shared" si="26"/>
        <v>0</v>
      </c>
      <c r="BS23" s="42">
        <f t="shared" si="26"/>
        <v>0</v>
      </c>
      <c r="BT23" s="42">
        <f t="shared" si="26"/>
        <v>0</v>
      </c>
      <c r="BU23" s="42">
        <f t="shared" si="26"/>
        <v>0</v>
      </c>
      <c r="BV23" s="42">
        <f t="shared" si="26"/>
        <v>0</v>
      </c>
      <c r="BW23" s="42">
        <f t="shared" si="26"/>
        <v>0</v>
      </c>
      <c r="BX23" s="42">
        <f t="shared" si="26"/>
        <v>0</v>
      </c>
      <c r="BY23" s="42">
        <f t="shared" si="26"/>
        <v>0</v>
      </c>
      <c r="BZ23" s="42">
        <f t="shared" si="27"/>
        <v>0</v>
      </c>
      <c r="CA23" s="42"/>
      <c r="CB23" s="42">
        <f t="shared" si="28"/>
        <v>0</v>
      </c>
      <c r="CC23" s="43">
        <f t="shared" si="8"/>
        <v>0.90382985999999998</v>
      </c>
      <c r="CD23" s="42">
        <f t="shared" si="9"/>
        <v>90382986</v>
      </c>
      <c r="CE23" s="42"/>
      <c r="CF23" s="42">
        <f>+'[3]NOVIEMBRE 2019'!$H$3995+'[3]NOVIEMBRE 2019'!$H$4004+'[3]NOVIEMBRE 2019'!$H$4006+'[3]NOVIEMBRE 2019'!$H$4009</f>
        <v>74382986</v>
      </c>
      <c r="CG23" s="42">
        <f>+'[4]JULIO 2019'!$H$2395</f>
        <v>16000000</v>
      </c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3">
        <f t="shared" si="10"/>
        <v>9.6170140000000015E-2</v>
      </c>
      <c r="DC23" s="42">
        <f t="shared" si="11"/>
        <v>9617014</v>
      </c>
      <c r="DD23" s="42">
        <f t="shared" si="29"/>
        <v>0</v>
      </c>
      <c r="DE23" s="42">
        <f t="shared" si="29"/>
        <v>5617014</v>
      </c>
      <c r="DF23" s="42">
        <f t="shared" si="29"/>
        <v>4000000</v>
      </c>
      <c r="DG23" s="42">
        <f t="shared" si="29"/>
        <v>0</v>
      </c>
      <c r="DH23" s="42">
        <f t="shared" si="29"/>
        <v>0</v>
      </c>
      <c r="DI23" s="42">
        <f t="shared" si="29"/>
        <v>0</v>
      </c>
      <c r="DJ23" s="42">
        <f t="shared" si="29"/>
        <v>0</v>
      </c>
      <c r="DK23" s="42">
        <f t="shared" si="29"/>
        <v>0</v>
      </c>
      <c r="DL23" s="42">
        <f t="shared" si="29"/>
        <v>0</v>
      </c>
      <c r="DM23" s="42">
        <f t="shared" si="29"/>
        <v>0</v>
      </c>
      <c r="DN23" s="42">
        <f t="shared" si="29"/>
        <v>0</v>
      </c>
      <c r="DO23" s="42">
        <f t="shared" si="29"/>
        <v>0</v>
      </c>
      <c r="DP23" s="42">
        <f t="shared" si="29"/>
        <v>0</v>
      </c>
      <c r="DQ23" s="42">
        <f t="shared" si="29"/>
        <v>0</v>
      </c>
      <c r="DR23" s="42">
        <f t="shared" si="29"/>
        <v>0</v>
      </c>
      <c r="DS23" s="42">
        <f t="shared" si="29"/>
        <v>0</v>
      </c>
      <c r="DT23" s="42">
        <f t="shared" si="30"/>
        <v>0</v>
      </c>
      <c r="DU23" s="42">
        <f t="shared" si="30"/>
        <v>0</v>
      </c>
      <c r="DV23" s="42">
        <f t="shared" si="30"/>
        <v>0</v>
      </c>
      <c r="DW23" s="42">
        <f t="shared" si="30"/>
        <v>0</v>
      </c>
      <c r="DX23" s="42">
        <f t="shared" si="30"/>
        <v>0</v>
      </c>
      <c r="DY23" s="42"/>
      <c r="DZ23" s="42">
        <f t="shared" si="31"/>
        <v>0</v>
      </c>
      <c r="EB23" s="47">
        <f t="shared" si="15"/>
        <v>100000000</v>
      </c>
      <c r="EC23" s="47">
        <f t="shared" si="16"/>
        <v>100000000</v>
      </c>
      <c r="ED23" s="47">
        <f t="shared" si="17"/>
        <v>100000000</v>
      </c>
    </row>
    <row r="24" spans="1:136" ht="30" customHeight="1" x14ac:dyDescent="0.3">
      <c r="A24" s="48"/>
      <c r="B24" s="62"/>
      <c r="C24" s="38" t="s">
        <v>94</v>
      </c>
      <c r="D24" s="39" t="s">
        <v>95</v>
      </c>
      <c r="E24" s="40">
        <v>510</v>
      </c>
      <c r="F24" s="41" t="s">
        <v>53</v>
      </c>
      <c r="G24" s="42">
        <f t="shared" si="0"/>
        <v>20800000</v>
      </c>
      <c r="H24" s="42"/>
      <c r="I24" s="42">
        <v>20800000</v>
      </c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3">
        <f t="shared" si="23"/>
        <v>1</v>
      </c>
      <c r="AF24" s="42">
        <f t="shared" si="24"/>
        <v>20800000</v>
      </c>
      <c r="AG24" s="42"/>
      <c r="AH24" s="42">
        <f>+'[3]NOVIEMBRE 2019'!$K$4021</f>
        <v>20800000</v>
      </c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3">
        <f t="shared" si="3"/>
        <v>0</v>
      </c>
      <c r="BE24" s="42">
        <f t="shared" si="4"/>
        <v>0</v>
      </c>
      <c r="BF24" s="42">
        <f t="shared" si="25"/>
        <v>0</v>
      </c>
      <c r="BG24" s="42">
        <f t="shared" si="25"/>
        <v>0</v>
      </c>
      <c r="BH24" s="42">
        <f t="shared" si="25"/>
        <v>0</v>
      </c>
      <c r="BI24" s="42">
        <f t="shared" si="19"/>
        <v>0</v>
      </c>
      <c r="BJ24" s="42">
        <f t="shared" si="26"/>
        <v>0</v>
      </c>
      <c r="BK24" s="42">
        <f t="shared" si="26"/>
        <v>0</v>
      </c>
      <c r="BL24" s="42">
        <f t="shared" si="26"/>
        <v>0</v>
      </c>
      <c r="BM24" s="42">
        <f t="shared" si="26"/>
        <v>0</v>
      </c>
      <c r="BN24" s="42">
        <f t="shared" si="26"/>
        <v>0</v>
      </c>
      <c r="BO24" s="42">
        <f t="shared" si="26"/>
        <v>0</v>
      </c>
      <c r="BP24" s="42">
        <f t="shared" si="26"/>
        <v>0</v>
      </c>
      <c r="BQ24" s="42">
        <f t="shared" si="26"/>
        <v>0</v>
      </c>
      <c r="BR24" s="42">
        <f t="shared" si="26"/>
        <v>0</v>
      </c>
      <c r="BS24" s="42">
        <f t="shared" si="26"/>
        <v>0</v>
      </c>
      <c r="BT24" s="42">
        <f t="shared" si="26"/>
        <v>0</v>
      </c>
      <c r="BU24" s="42">
        <f t="shared" si="26"/>
        <v>0</v>
      </c>
      <c r="BV24" s="42">
        <f t="shared" si="26"/>
        <v>0</v>
      </c>
      <c r="BW24" s="42">
        <f t="shared" si="26"/>
        <v>0</v>
      </c>
      <c r="BX24" s="42">
        <f t="shared" si="26"/>
        <v>0</v>
      </c>
      <c r="BY24" s="42">
        <f t="shared" si="26"/>
        <v>0</v>
      </c>
      <c r="BZ24" s="42">
        <f t="shared" si="27"/>
        <v>0</v>
      </c>
      <c r="CA24" s="42"/>
      <c r="CB24" s="42">
        <f t="shared" si="28"/>
        <v>0</v>
      </c>
      <c r="CC24" s="43">
        <f t="shared" si="8"/>
        <v>0.54326923076923073</v>
      </c>
      <c r="CD24" s="42">
        <f t="shared" si="9"/>
        <v>11300000</v>
      </c>
      <c r="CE24" s="42"/>
      <c r="CF24" s="42">
        <f>+'[1]OCTUBRE 2019'!$H$3596</f>
        <v>11300000</v>
      </c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3">
        <f t="shared" si="10"/>
        <v>0.45673076923076927</v>
      </c>
      <c r="DC24" s="42">
        <f t="shared" si="11"/>
        <v>9500000</v>
      </c>
      <c r="DD24" s="42">
        <f t="shared" si="29"/>
        <v>0</v>
      </c>
      <c r="DE24" s="42">
        <f t="shared" si="29"/>
        <v>9500000</v>
      </c>
      <c r="DF24" s="42">
        <f t="shared" si="29"/>
        <v>0</v>
      </c>
      <c r="DG24" s="42">
        <f t="shared" si="29"/>
        <v>0</v>
      </c>
      <c r="DH24" s="42">
        <f t="shared" si="29"/>
        <v>0</v>
      </c>
      <c r="DI24" s="42">
        <f t="shared" si="29"/>
        <v>0</v>
      </c>
      <c r="DJ24" s="42">
        <f t="shared" si="29"/>
        <v>0</v>
      </c>
      <c r="DK24" s="42">
        <f t="shared" si="29"/>
        <v>0</v>
      </c>
      <c r="DL24" s="42">
        <f t="shared" si="29"/>
        <v>0</v>
      </c>
      <c r="DM24" s="42">
        <f t="shared" si="29"/>
        <v>0</v>
      </c>
      <c r="DN24" s="42">
        <f t="shared" si="29"/>
        <v>0</v>
      </c>
      <c r="DO24" s="42">
        <f t="shared" si="29"/>
        <v>0</v>
      </c>
      <c r="DP24" s="42">
        <f t="shared" si="29"/>
        <v>0</v>
      </c>
      <c r="DQ24" s="42">
        <f t="shared" si="29"/>
        <v>0</v>
      </c>
      <c r="DR24" s="42">
        <f t="shared" si="29"/>
        <v>0</v>
      </c>
      <c r="DS24" s="42">
        <f t="shared" si="29"/>
        <v>0</v>
      </c>
      <c r="DT24" s="42">
        <f t="shared" si="30"/>
        <v>0</v>
      </c>
      <c r="DU24" s="42">
        <f t="shared" si="30"/>
        <v>0</v>
      </c>
      <c r="DV24" s="42">
        <f t="shared" si="30"/>
        <v>0</v>
      </c>
      <c r="DW24" s="42">
        <f t="shared" si="30"/>
        <v>0</v>
      </c>
      <c r="DX24" s="42">
        <f t="shared" si="30"/>
        <v>0</v>
      </c>
      <c r="DY24" s="42"/>
      <c r="DZ24" s="42">
        <f t="shared" si="31"/>
        <v>0</v>
      </c>
      <c r="EB24" s="47">
        <f t="shared" si="15"/>
        <v>20800000</v>
      </c>
      <c r="EC24" s="47">
        <f t="shared" si="16"/>
        <v>20800000</v>
      </c>
      <c r="ED24" s="47">
        <f t="shared" si="17"/>
        <v>20800000</v>
      </c>
      <c r="EF24" s="63"/>
    </row>
    <row r="25" spans="1:136" ht="30.6" customHeight="1" x14ac:dyDescent="0.3">
      <c r="A25" s="48"/>
      <c r="B25" s="64"/>
      <c r="C25" s="38" t="s">
        <v>96</v>
      </c>
      <c r="D25" s="39" t="s">
        <v>97</v>
      </c>
      <c r="E25" s="40">
        <v>510</v>
      </c>
      <c r="F25" s="41" t="s">
        <v>53</v>
      </c>
      <c r="G25" s="42">
        <f t="shared" si="0"/>
        <v>82655791</v>
      </c>
      <c r="H25" s="42">
        <v>23655791</v>
      </c>
      <c r="I25" s="42">
        <v>39000000</v>
      </c>
      <c r="J25" s="42">
        <v>20000000</v>
      </c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3">
        <f t="shared" si="23"/>
        <v>0.6654101223228267</v>
      </c>
      <c r="AF25" s="42">
        <f t="shared" si="24"/>
        <v>55000000</v>
      </c>
      <c r="AG25" s="42"/>
      <c r="AH25" s="42">
        <f>+'[6]MARZO 2019'!$K$1183</f>
        <v>39000000</v>
      </c>
      <c r="AI25" s="42">
        <f>+'[4]JULIO 2019'!$M$2421</f>
        <v>16000000</v>
      </c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3">
        <f t="shared" si="3"/>
        <v>0.3345898776771733</v>
      </c>
      <c r="BE25" s="42">
        <f t="shared" si="4"/>
        <v>27655791</v>
      </c>
      <c r="BF25" s="42">
        <f t="shared" si="25"/>
        <v>23655791</v>
      </c>
      <c r="BG25" s="42">
        <f t="shared" si="25"/>
        <v>0</v>
      </c>
      <c r="BH25" s="42">
        <f t="shared" si="25"/>
        <v>4000000</v>
      </c>
      <c r="BI25" s="42">
        <f t="shared" si="19"/>
        <v>0</v>
      </c>
      <c r="BJ25" s="42">
        <f t="shared" si="26"/>
        <v>0</v>
      </c>
      <c r="BK25" s="42">
        <f t="shared" si="26"/>
        <v>0</v>
      </c>
      <c r="BL25" s="42">
        <f t="shared" si="26"/>
        <v>0</v>
      </c>
      <c r="BM25" s="42">
        <f t="shared" si="26"/>
        <v>0</v>
      </c>
      <c r="BN25" s="42">
        <f t="shared" si="26"/>
        <v>0</v>
      </c>
      <c r="BO25" s="42">
        <f t="shared" si="26"/>
        <v>0</v>
      </c>
      <c r="BP25" s="42">
        <f t="shared" si="26"/>
        <v>0</v>
      </c>
      <c r="BQ25" s="42">
        <f t="shared" si="26"/>
        <v>0</v>
      </c>
      <c r="BR25" s="42">
        <f t="shared" si="26"/>
        <v>0</v>
      </c>
      <c r="BS25" s="42">
        <f t="shared" si="26"/>
        <v>0</v>
      </c>
      <c r="BT25" s="42">
        <f t="shared" si="26"/>
        <v>0</v>
      </c>
      <c r="BU25" s="42">
        <f t="shared" si="26"/>
        <v>0</v>
      </c>
      <c r="BV25" s="42">
        <f t="shared" si="26"/>
        <v>0</v>
      </c>
      <c r="BW25" s="42">
        <f t="shared" si="26"/>
        <v>0</v>
      </c>
      <c r="BX25" s="42">
        <f t="shared" si="26"/>
        <v>0</v>
      </c>
      <c r="BY25" s="42">
        <f t="shared" si="26"/>
        <v>0</v>
      </c>
      <c r="BZ25" s="42">
        <f t="shared" si="27"/>
        <v>0</v>
      </c>
      <c r="CA25" s="42"/>
      <c r="CB25" s="42">
        <f t="shared" si="28"/>
        <v>0</v>
      </c>
      <c r="CC25" s="43">
        <f t="shared" si="8"/>
        <v>0.34571543813548405</v>
      </c>
      <c r="CD25" s="42">
        <f t="shared" si="9"/>
        <v>28575383</v>
      </c>
      <c r="CE25" s="42"/>
      <c r="CF25" s="42">
        <f>+'[3]NOVIEMBRE 2019'!$H$4041+'[3]NOVIEMBRE 2019'!$H$4044</f>
        <v>22368856</v>
      </c>
      <c r="CG25" s="42">
        <f>+'[3]NOVIEMBRE 2019'!$H$4056+'[3]NOVIEMBRE 2019'!$H$4067</f>
        <v>6206527</v>
      </c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3">
        <f t="shared" si="10"/>
        <v>0.65428456186451589</v>
      </c>
      <c r="DC25" s="42">
        <f t="shared" si="11"/>
        <v>54080408</v>
      </c>
      <c r="DD25" s="42">
        <f t="shared" si="29"/>
        <v>23655791</v>
      </c>
      <c r="DE25" s="42">
        <f t="shared" si="29"/>
        <v>16631144</v>
      </c>
      <c r="DF25" s="42">
        <f t="shared" si="29"/>
        <v>13793473</v>
      </c>
      <c r="DG25" s="42">
        <f t="shared" si="29"/>
        <v>0</v>
      </c>
      <c r="DH25" s="42">
        <f t="shared" si="29"/>
        <v>0</v>
      </c>
      <c r="DI25" s="42">
        <f t="shared" si="29"/>
        <v>0</v>
      </c>
      <c r="DJ25" s="42">
        <f t="shared" si="29"/>
        <v>0</v>
      </c>
      <c r="DK25" s="42">
        <f t="shared" si="29"/>
        <v>0</v>
      </c>
      <c r="DL25" s="42">
        <f t="shared" si="29"/>
        <v>0</v>
      </c>
      <c r="DM25" s="42">
        <f t="shared" si="29"/>
        <v>0</v>
      </c>
      <c r="DN25" s="42">
        <f t="shared" si="29"/>
        <v>0</v>
      </c>
      <c r="DO25" s="42">
        <f t="shared" si="29"/>
        <v>0</v>
      </c>
      <c r="DP25" s="42">
        <f t="shared" si="29"/>
        <v>0</v>
      </c>
      <c r="DQ25" s="42">
        <f t="shared" si="29"/>
        <v>0</v>
      </c>
      <c r="DR25" s="42">
        <f t="shared" si="29"/>
        <v>0</v>
      </c>
      <c r="DS25" s="42">
        <f t="shared" si="29"/>
        <v>0</v>
      </c>
      <c r="DT25" s="42">
        <f t="shared" si="30"/>
        <v>0</v>
      </c>
      <c r="DU25" s="42">
        <f t="shared" si="30"/>
        <v>0</v>
      </c>
      <c r="DV25" s="42">
        <f t="shared" si="30"/>
        <v>0</v>
      </c>
      <c r="DW25" s="42">
        <f t="shared" si="30"/>
        <v>0</v>
      </c>
      <c r="DX25" s="42">
        <f t="shared" si="30"/>
        <v>0</v>
      </c>
      <c r="DY25" s="42"/>
      <c r="DZ25" s="42">
        <f t="shared" si="31"/>
        <v>0</v>
      </c>
      <c r="EB25" s="47">
        <f t="shared" si="15"/>
        <v>82655791</v>
      </c>
      <c r="EC25" s="47">
        <f t="shared" si="16"/>
        <v>82655791</v>
      </c>
      <c r="ED25" s="47">
        <f t="shared" si="17"/>
        <v>82655791</v>
      </c>
    </row>
    <row r="26" spans="1:136" ht="45.6" customHeight="1" x14ac:dyDescent="0.3">
      <c r="A26" s="48"/>
      <c r="B26" s="61" t="s">
        <v>98</v>
      </c>
      <c r="C26" s="55" t="s">
        <v>99</v>
      </c>
      <c r="D26" s="50" t="s">
        <v>100</v>
      </c>
      <c r="E26" s="40">
        <v>510</v>
      </c>
      <c r="F26" s="41" t="s">
        <v>101</v>
      </c>
      <c r="G26" s="42">
        <f t="shared" si="0"/>
        <v>312819998</v>
      </c>
      <c r="H26" s="42"/>
      <c r="I26" s="42">
        <f>190000000-18086668</f>
        <v>171913332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>
        <f>90000000+18000000+20000000+27906666-15000000</f>
        <v>140906666</v>
      </c>
      <c r="AE26" s="43">
        <f t="shared" si="23"/>
        <v>0.96905732350270013</v>
      </c>
      <c r="AF26" s="42">
        <f t="shared" si="24"/>
        <v>303140510</v>
      </c>
      <c r="AG26" s="42"/>
      <c r="AH26" s="42">
        <f>+'[1]OCTUBRE 2019'!$K$3677</f>
        <v>171913332</v>
      </c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>
        <f>+'[3]NOVIEMBRE 2019'!$AG$4102</f>
        <v>131227178</v>
      </c>
      <c r="BD26" s="43">
        <f t="shared" si="3"/>
        <v>3.094267649729987E-2</v>
      </c>
      <c r="BE26" s="42">
        <f t="shared" si="4"/>
        <v>9679488</v>
      </c>
      <c r="BF26" s="42">
        <f t="shared" si="25"/>
        <v>0</v>
      </c>
      <c r="BG26" s="42">
        <f t="shared" si="25"/>
        <v>0</v>
      </c>
      <c r="BH26" s="42">
        <f t="shared" si="25"/>
        <v>0</v>
      </c>
      <c r="BI26" s="42">
        <f t="shared" si="19"/>
        <v>0</v>
      </c>
      <c r="BJ26" s="42">
        <f t="shared" si="26"/>
        <v>0</v>
      </c>
      <c r="BK26" s="42">
        <f t="shared" si="26"/>
        <v>0</v>
      </c>
      <c r="BL26" s="42">
        <f t="shared" si="26"/>
        <v>0</v>
      </c>
      <c r="BM26" s="42">
        <f t="shared" si="26"/>
        <v>0</v>
      </c>
      <c r="BN26" s="42">
        <f t="shared" si="26"/>
        <v>0</v>
      </c>
      <c r="BO26" s="42">
        <f t="shared" si="26"/>
        <v>0</v>
      </c>
      <c r="BP26" s="42">
        <f t="shared" si="26"/>
        <v>0</v>
      </c>
      <c r="BQ26" s="42">
        <f t="shared" si="26"/>
        <v>0</v>
      </c>
      <c r="BR26" s="42">
        <f t="shared" si="26"/>
        <v>0</v>
      </c>
      <c r="BS26" s="42">
        <f t="shared" si="26"/>
        <v>0</v>
      </c>
      <c r="BT26" s="42">
        <f t="shared" si="26"/>
        <v>0</v>
      </c>
      <c r="BU26" s="42">
        <f t="shared" si="26"/>
        <v>0</v>
      </c>
      <c r="BV26" s="42">
        <f t="shared" si="26"/>
        <v>0</v>
      </c>
      <c r="BW26" s="42">
        <f t="shared" si="26"/>
        <v>0</v>
      </c>
      <c r="BX26" s="42">
        <f t="shared" si="26"/>
        <v>0</v>
      </c>
      <c r="BY26" s="42">
        <f t="shared" si="26"/>
        <v>0</v>
      </c>
      <c r="BZ26" s="42">
        <f t="shared" si="27"/>
        <v>0</v>
      </c>
      <c r="CA26" s="42"/>
      <c r="CB26" s="42">
        <f t="shared" si="28"/>
        <v>9679488</v>
      </c>
      <c r="CC26" s="43">
        <f t="shared" si="8"/>
        <v>0.83948132689394106</v>
      </c>
      <c r="CD26" s="42">
        <f t="shared" si="9"/>
        <v>262606547</v>
      </c>
      <c r="CE26" s="42"/>
      <c r="CF26" s="42">
        <f>+'[3]NOVIEMBRE 2019'!$H$4111+'[3]NOVIEMBRE 2019'!$H$4140+'[3]NOVIEMBRE 2019'!$H$4143+'[3]NOVIEMBRE 2019'!$H$4149+'[3]NOVIEMBRE 2019'!$H$4152+'[3]NOVIEMBRE 2019'!$H$4164</f>
        <v>140672789</v>
      </c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>
        <f>+'[3]NOVIEMBRE 2019'!$H$4100-CF26</f>
        <v>121933758</v>
      </c>
      <c r="DB26" s="43">
        <f t="shared" si="10"/>
        <v>0.16051867310605894</v>
      </c>
      <c r="DC26" s="42">
        <f t="shared" si="11"/>
        <v>50213451</v>
      </c>
      <c r="DD26" s="42">
        <f t="shared" si="29"/>
        <v>0</v>
      </c>
      <c r="DE26" s="42">
        <f t="shared" si="29"/>
        <v>31240543</v>
      </c>
      <c r="DF26" s="42">
        <f t="shared" si="29"/>
        <v>0</v>
      </c>
      <c r="DG26" s="42">
        <f t="shared" si="29"/>
        <v>0</v>
      </c>
      <c r="DH26" s="42">
        <f t="shared" si="29"/>
        <v>0</v>
      </c>
      <c r="DI26" s="42">
        <f t="shared" si="29"/>
        <v>0</v>
      </c>
      <c r="DJ26" s="42">
        <f t="shared" si="29"/>
        <v>0</v>
      </c>
      <c r="DK26" s="42">
        <f t="shared" si="29"/>
        <v>0</v>
      </c>
      <c r="DL26" s="42">
        <f t="shared" si="29"/>
        <v>0</v>
      </c>
      <c r="DM26" s="42">
        <f t="shared" si="29"/>
        <v>0</v>
      </c>
      <c r="DN26" s="42">
        <f t="shared" si="29"/>
        <v>0</v>
      </c>
      <c r="DO26" s="42">
        <f t="shared" si="29"/>
        <v>0</v>
      </c>
      <c r="DP26" s="42">
        <f t="shared" si="29"/>
        <v>0</v>
      </c>
      <c r="DQ26" s="42">
        <f t="shared" si="29"/>
        <v>0</v>
      </c>
      <c r="DR26" s="42">
        <f t="shared" si="29"/>
        <v>0</v>
      </c>
      <c r="DS26" s="42">
        <f t="shared" si="29"/>
        <v>0</v>
      </c>
      <c r="DT26" s="42">
        <f t="shared" si="30"/>
        <v>0</v>
      </c>
      <c r="DU26" s="42">
        <f t="shared" si="30"/>
        <v>0</v>
      </c>
      <c r="DV26" s="42">
        <f t="shared" si="30"/>
        <v>0</v>
      </c>
      <c r="DW26" s="42">
        <f t="shared" si="30"/>
        <v>0</v>
      </c>
      <c r="DX26" s="42">
        <f t="shared" si="30"/>
        <v>0</v>
      </c>
      <c r="DY26" s="42"/>
      <c r="DZ26" s="42">
        <f t="shared" si="31"/>
        <v>18972908</v>
      </c>
      <c r="EB26" s="47">
        <f t="shared" si="15"/>
        <v>312819998</v>
      </c>
      <c r="EC26" s="47">
        <f t="shared" si="16"/>
        <v>312819998</v>
      </c>
      <c r="ED26" s="47">
        <f t="shared" si="17"/>
        <v>312819998</v>
      </c>
    </row>
    <row r="27" spans="1:136" ht="22.2" customHeight="1" x14ac:dyDescent="0.3">
      <c r="A27" s="48"/>
      <c r="B27" s="62"/>
      <c r="C27" s="55" t="s">
        <v>102</v>
      </c>
      <c r="D27" s="50" t="s">
        <v>103</v>
      </c>
      <c r="E27" s="40">
        <v>510</v>
      </c>
      <c r="F27" s="41" t="s">
        <v>104</v>
      </c>
      <c r="G27" s="42">
        <f t="shared" si="0"/>
        <v>5000000</v>
      </c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>
        <v>5000000</v>
      </c>
      <c r="Y27" s="42"/>
      <c r="Z27" s="42"/>
      <c r="AA27" s="42"/>
      <c r="AB27" s="42"/>
      <c r="AC27" s="42"/>
      <c r="AD27" s="42">
        <f>50000000-50000000</f>
        <v>0</v>
      </c>
      <c r="AE27" s="43">
        <f t="shared" si="23"/>
        <v>0</v>
      </c>
      <c r="AF27" s="42">
        <f t="shared" si="24"/>
        <v>0</v>
      </c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3">
        <f t="shared" si="3"/>
        <v>1</v>
      </c>
      <c r="BE27" s="42">
        <f t="shared" si="4"/>
        <v>5000000</v>
      </c>
      <c r="BF27" s="42">
        <f t="shared" si="25"/>
        <v>0</v>
      </c>
      <c r="BG27" s="42">
        <f t="shared" si="25"/>
        <v>0</v>
      </c>
      <c r="BH27" s="42">
        <f t="shared" si="25"/>
        <v>0</v>
      </c>
      <c r="BI27" s="42">
        <f t="shared" si="19"/>
        <v>0</v>
      </c>
      <c r="BJ27" s="42">
        <f t="shared" si="26"/>
        <v>0</v>
      </c>
      <c r="BK27" s="42">
        <f t="shared" si="26"/>
        <v>0</v>
      </c>
      <c r="BL27" s="42">
        <f t="shared" si="26"/>
        <v>0</v>
      </c>
      <c r="BM27" s="42">
        <f t="shared" si="26"/>
        <v>0</v>
      </c>
      <c r="BN27" s="42">
        <f t="shared" si="26"/>
        <v>0</v>
      </c>
      <c r="BO27" s="42">
        <f t="shared" si="26"/>
        <v>0</v>
      </c>
      <c r="BP27" s="42">
        <f t="shared" si="26"/>
        <v>0</v>
      </c>
      <c r="BQ27" s="42">
        <f t="shared" si="26"/>
        <v>0</v>
      </c>
      <c r="BR27" s="42">
        <f t="shared" si="26"/>
        <v>0</v>
      </c>
      <c r="BS27" s="42">
        <f t="shared" si="26"/>
        <v>0</v>
      </c>
      <c r="BT27" s="42">
        <f t="shared" si="26"/>
        <v>0</v>
      </c>
      <c r="BU27" s="42">
        <f t="shared" si="26"/>
        <v>0</v>
      </c>
      <c r="BV27" s="42">
        <f t="shared" si="26"/>
        <v>5000000</v>
      </c>
      <c r="BW27" s="42">
        <f t="shared" si="26"/>
        <v>0</v>
      </c>
      <c r="BX27" s="42">
        <f t="shared" si="26"/>
        <v>0</v>
      </c>
      <c r="BY27" s="42">
        <f t="shared" si="26"/>
        <v>0</v>
      </c>
      <c r="BZ27" s="42">
        <f t="shared" si="27"/>
        <v>0</v>
      </c>
      <c r="CA27" s="42"/>
      <c r="CB27" s="42">
        <f t="shared" si="28"/>
        <v>0</v>
      </c>
      <c r="CC27" s="43">
        <f t="shared" si="8"/>
        <v>0</v>
      </c>
      <c r="CD27" s="42">
        <f t="shared" si="9"/>
        <v>0</v>
      </c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3">
        <f t="shared" si="10"/>
        <v>1</v>
      </c>
      <c r="DC27" s="42">
        <f t="shared" si="11"/>
        <v>5000000</v>
      </c>
      <c r="DD27" s="42">
        <f t="shared" si="29"/>
        <v>0</v>
      </c>
      <c r="DE27" s="42">
        <f t="shared" si="29"/>
        <v>0</v>
      </c>
      <c r="DF27" s="42">
        <f t="shared" si="29"/>
        <v>0</v>
      </c>
      <c r="DG27" s="42">
        <f t="shared" si="29"/>
        <v>0</v>
      </c>
      <c r="DH27" s="42">
        <f t="shared" si="29"/>
        <v>0</v>
      </c>
      <c r="DI27" s="42">
        <f t="shared" si="29"/>
        <v>0</v>
      </c>
      <c r="DJ27" s="42">
        <f t="shared" si="29"/>
        <v>0</v>
      </c>
      <c r="DK27" s="42">
        <f t="shared" si="29"/>
        <v>0</v>
      </c>
      <c r="DL27" s="42">
        <f t="shared" si="29"/>
        <v>0</v>
      </c>
      <c r="DM27" s="42">
        <f t="shared" si="29"/>
        <v>0</v>
      </c>
      <c r="DN27" s="42">
        <f t="shared" si="29"/>
        <v>0</v>
      </c>
      <c r="DO27" s="42">
        <f t="shared" si="29"/>
        <v>0</v>
      </c>
      <c r="DP27" s="42">
        <f t="shared" si="29"/>
        <v>0</v>
      </c>
      <c r="DQ27" s="42">
        <f t="shared" si="29"/>
        <v>0</v>
      </c>
      <c r="DR27" s="42">
        <f t="shared" si="29"/>
        <v>0</v>
      </c>
      <c r="DS27" s="42">
        <f t="shared" si="29"/>
        <v>0</v>
      </c>
      <c r="DT27" s="42">
        <f t="shared" si="30"/>
        <v>5000000</v>
      </c>
      <c r="DU27" s="42">
        <f t="shared" si="30"/>
        <v>0</v>
      </c>
      <c r="DV27" s="42">
        <f t="shared" si="30"/>
        <v>0</v>
      </c>
      <c r="DW27" s="42">
        <f t="shared" si="30"/>
        <v>0</v>
      </c>
      <c r="DX27" s="42">
        <f t="shared" si="30"/>
        <v>0</v>
      </c>
      <c r="DY27" s="42"/>
      <c r="DZ27" s="42">
        <f t="shared" si="31"/>
        <v>0</v>
      </c>
      <c r="EB27" s="47">
        <f t="shared" si="15"/>
        <v>5000000</v>
      </c>
      <c r="EC27" s="47">
        <f t="shared" si="16"/>
        <v>5000000</v>
      </c>
      <c r="ED27" s="47">
        <f t="shared" si="17"/>
        <v>5000000</v>
      </c>
    </row>
    <row r="28" spans="1:136" ht="27.6" customHeight="1" x14ac:dyDescent="0.3">
      <c r="A28" s="48"/>
      <c r="B28" s="62"/>
      <c r="C28" s="55" t="s">
        <v>105</v>
      </c>
      <c r="D28" s="50" t="s">
        <v>106</v>
      </c>
      <c r="E28" s="40">
        <v>510</v>
      </c>
      <c r="F28" s="41" t="s">
        <v>107</v>
      </c>
      <c r="G28" s="42">
        <f t="shared" si="0"/>
        <v>132586668</v>
      </c>
      <c r="H28" s="42"/>
      <c r="I28" s="42">
        <f>100000000+18086668</f>
        <v>118086668</v>
      </c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>
        <f>14500000</f>
        <v>14500000</v>
      </c>
      <c r="AE28" s="43">
        <f t="shared" si="23"/>
        <v>0.9165477180556344</v>
      </c>
      <c r="AF28" s="42">
        <f t="shared" si="24"/>
        <v>121522008</v>
      </c>
      <c r="AG28" s="42"/>
      <c r="AH28" s="42">
        <f>+'[1]OCTUBRE 2019'!$K$3779</f>
        <v>118086668</v>
      </c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>
        <f>+'[1]OCTUBRE 2019'!$AG$3779</f>
        <v>3435340</v>
      </c>
      <c r="BD28" s="43">
        <f t="shared" si="3"/>
        <v>8.3452281944365603E-2</v>
      </c>
      <c r="BE28" s="42">
        <f t="shared" si="4"/>
        <v>11064660</v>
      </c>
      <c r="BF28" s="42">
        <f t="shared" si="25"/>
        <v>0</v>
      </c>
      <c r="BG28" s="42">
        <f t="shared" si="25"/>
        <v>0</v>
      </c>
      <c r="BH28" s="42">
        <f t="shared" si="25"/>
        <v>0</v>
      </c>
      <c r="BI28" s="42">
        <f t="shared" si="19"/>
        <v>0</v>
      </c>
      <c r="BJ28" s="42">
        <f t="shared" si="26"/>
        <v>0</v>
      </c>
      <c r="BK28" s="42">
        <f t="shared" si="26"/>
        <v>0</v>
      </c>
      <c r="BL28" s="42">
        <f t="shared" si="26"/>
        <v>0</v>
      </c>
      <c r="BM28" s="42">
        <f t="shared" si="26"/>
        <v>0</v>
      </c>
      <c r="BN28" s="42">
        <f t="shared" si="26"/>
        <v>0</v>
      </c>
      <c r="BO28" s="42">
        <f t="shared" si="26"/>
        <v>0</v>
      </c>
      <c r="BP28" s="42">
        <f t="shared" si="26"/>
        <v>0</v>
      </c>
      <c r="BQ28" s="42">
        <f t="shared" si="26"/>
        <v>0</v>
      </c>
      <c r="BR28" s="42">
        <f t="shared" si="26"/>
        <v>0</v>
      </c>
      <c r="BS28" s="42">
        <f t="shared" si="26"/>
        <v>0</v>
      </c>
      <c r="BT28" s="42">
        <f t="shared" si="26"/>
        <v>0</v>
      </c>
      <c r="BU28" s="42">
        <f t="shared" si="26"/>
        <v>0</v>
      </c>
      <c r="BV28" s="42">
        <f t="shared" si="26"/>
        <v>0</v>
      </c>
      <c r="BW28" s="42">
        <f t="shared" si="26"/>
        <v>0</v>
      </c>
      <c r="BX28" s="42">
        <f t="shared" si="26"/>
        <v>0</v>
      </c>
      <c r="BY28" s="42">
        <f t="shared" si="26"/>
        <v>0</v>
      </c>
      <c r="BZ28" s="42">
        <f t="shared" si="27"/>
        <v>0</v>
      </c>
      <c r="CA28" s="42"/>
      <c r="CB28" s="42">
        <f t="shared" si="28"/>
        <v>11064660</v>
      </c>
      <c r="CC28" s="43">
        <f t="shared" si="8"/>
        <v>0.74652654367933891</v>
      </c>
      <c r="CD28" s="42">
        <f t="shared" si="9"/>
        <v>98979467</v>
      </c>
      <c r="CE28" s="42"/>
      <c r="CF28" s="42">
        <f>+'[3]NOVIEMBRE 2019'!$H$4209+'[3]NOVIEMBRE 2019'!$H$4223+'[3]NOVIEMBRE 2019'!$H$4227+'[3]NOVIEMBRE 2019'!$H$4229+'[3]NOVIEMBRE 2019'!$H$4233+'[3]NOVIEMBRE 2019'!$H$4248</f>
        <v>97740504</v>
      </c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>
        <f>+'[1]OCTUBRE 2019'!$H$3791+'[1]OCTUBRE 2019'!$H$3818</f>
        <v>1238963</v>
      </c>
      <c r="DB28" s="43">
        <f t="shared" si="10"/>
        <v>0.25347345632066109</v>
      </c>
      <c r="DC28" s="42">
        <f t="shared" si="11"/>
        <v>33607201</v>
      </c>
      <c r="DD28" s="42">
        <f t="shared" si="29"/>
        <v>0</v>
      </c>
      <c r="DE28" s="42">
        <f t="shared" si="29"/>
        <v>20346164</v>
      </c>
      <c r="DF28" s="42">
        <f t="shared" si="29"/>
        <v>0</v>
      </c>
      <c r="DG28" s="42">
        <f t="shared" si="29"/>
        <v>0</v>
      </c>
      <c r="DH28" s="42">
        <f t="shared" si="29"/>
        <v>0</v>
      </c>
      <c r="DI28" s="42">
        <f t="shared" si="29"/>
        <v>0</v>
      </c>
      <c r="DJ28" s="42">
        <f t="shared" si="29"/>
        <v>0</v>
      </c>
      <c r="DK28" s="42">
        <f t="shared" si="29"/>
        <v>0</v>
      </c>
      <c r="DL28" s="42">
        <f t="shared" si="29"/>
        <v>0</v>
      </c>
      <c r="DM28" s="42">
        <f t="shared" si="29"/>
        <v>0</v>
      </c>
      <c r="DN28" s="42">
        <f t="shared" si="29"/>
        <v>0</v>
      </c>
      <c r="DO28" s="42">
        <f t="shared" si="29"/>
        <v>0</v>
      </c>
      <c r="DP28" s="42">
        <f t="shared" si="29"/>
        <v>0</v>
      </c>
      <c r="DQ28" s="42">
        <f t="shared" si="29"/>
        <v>0</v>
      </c>
      <c r="DR28" s="42">
        <f t="shared" si="29"/>
        <v>0</v>
      </c>
      <c r="DS28" s="42">
        <f t="shared" si="29"/>
        <v>0</v>
      </c>
      <c r="DT28" s="42">
        <f t="shared" si="30"/>
        <v>0</v>
      </c>
      <c r="DU28" s="42">
        <f t="shared" si="30"/>
        <v>0</v>
      </c>
      <c r="DV28" s="42">
        <f t="shared" si="30"/>
        <v>0</v>
      </c>
      <c r="DW28" s="42">
        <f t="shared" si="30"/>
        <v>0</v>
      </c>
      <c r="DX28" s="42">
        <f t="shared" si="30"/>
        <v>0</v>
      </c>
      <c r="DY28" s="42"/>
      <c r="DZ28" s="42">
        <f t="shared" si="31"/>
        <v>13261037</v>
      </c>
      <c r="EB28" s="47">
        <f t="shared" si="15"/>
        <v>132586668</v>
      </c>
      <c r="EC28" s="47">
        <f t="shared" si="16"/>
        <v>132586668</v>
      </c>
      <c r="ED28" s="47">
        <f t="shared" si="17"/>
        <v>132586668</v>
      </c>
    </row>
    <row r="29" spans="1:136" ht="73.8" customHeight="1" x14ac:dyDescent="0.3">
      <c r="A29" s="48"/>
      <c r="B29" s="62"/>
      <c r="C29" s="55" t="s">
        <v>108</v>
      </c>
      <c r="D29" s="50" t="s">
        <v>109</v>
      </c>
      <c r="E29" s="40">
        <v>510</v>
      </c>
      <c r="F29" s="41" t="s">
        <v>53</v>
      </c>
      <c r="G29" s="42">
        <f t="shared" si="0"/>
        <v>40000000</v>
      </c>
      <c r="H29" s="42"/>
      <c r="I29" s="42">
        <v>40000000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3">
        <f t="shared" si="23"/>
        <v>0</v>
      </c>
      <c r="AF29" s="42">
        <f t="shared" si="24"/>
        <v>0</v>
      </c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3">
        <f t="shared" si="3"/>
        <v>1</v>
      </c>
      <c r="BE29" s="42">
        <f t="shared" si="4"/>
        <v>40000000</v>
      </c>
      <c r="BF29" s="42">
        <f t="shared" si="25"/>
        <v>0</v>
      </c>
      <c r="BG29" s="42">
        <f t="shared" si="25"/>
        <v>40000000</v>
      </c>
      <c r="BH29" s="42">
        <f t="shared" si="25"/>
        <v>0</v>
      </c>
      <c r="BI29" s="42">
        <f t="shared" si="19"/>
        <v>0</v>
      </c>
      <c r="BJ29" s="42">
        <f t="shared" si="26"/>
        <v>0</v>
      </c>
      <c r="BK29" s="42">
        <f t="shared" si="26"/>
        <v>0</v>
      </c>
      <c r="BL29" s="42">
        <f t="shared" si="26"/>
        <v>0</v>
      </c>
      <c r="BM29" s="42">
        <f t="shared" si="26"/>
        <v>0</v>
      </c>
      <c r="BN29" s="42">
        <f t="shared" si="26"/>
        <v>0</v>
      </c>
      <c r="BO29" s="42">
        <f t="shared" si="26"/>
        <v>0</v>
      </c>
      <c r="BP29" s="42">
        <f t="shared" si="26"/>
        <v>0</v>
      </c>
      <c r="BQ29" s="42">
        <f t="shared" si="26"/>
        <v>0</v>
      </c>
      <c r="BR29" s="42">
        <f t="shared" si="26"/>
        <v>0</v>
      </c>
      <c r="BS29" s="42">
        <f t="shared" si="26"/>
        <v>0</v>
      </c>
      <c r="BT29" s="42">
        <f t="shared" si="26"/>
        <v>0</v>
      </c>
      <c r="BU29" s="42">
        <f t="shared" si="26"/>
        <v>0</v>
      </c>
      <c r="BV29" s="42">
        <f t="shared" si="26"/>
        <v>0</v>
      </c>
      <c r="BW29" s="42">
        <f t="shared" si="26"/>
        <v>0</v>
      </c>
      <c r="BX29" s="42">
        <f t="shared" si="26"/>
        <v>0</v>
      </c>
      <c r="BY29" s="42">
        <f t="shared" si="26"/>
        <v>0</v>
      </c>
      <c r="BZ29" s="42">
        <f t="shared" si="27"/>
        <v>0</v>
      </c>
      <c r="CA29" s="42"/>
      <c r="CB29" s="42">
        <f t="shared" si="28"/>
        <v>0</v>
      </c>
      <c r="CC29" s="43">
        <f t="shared" si="8"/>
        <v>0</v>
      </c>
      <c r="CD29" s="42">
        <f t="shared" si="9"/>
        <v>0</v>
      </c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3">
        <f t="shared" si="10"/>
        <v>1</v>
      </c>
      <c r="DC29" s="42">
        <f t="shared" si="11"/>
        <v>40000000</v>
      </c>
      <c r="DD29" s="42">
        <f t="shared" si="29"/>
        <v>0</v>
      </c>
      <c r="DE29" s="42">
        <f t="shared" si="29"/>
        <v>40000000</v>
      </c>
      <c r="DF29" s="42">
        <f t="shared" si="29"/>
        <v>0</v>
      </c>
      <c r="DG29" s="42">
        <f t="shared" si="29"/>
        <v>0</v>
      </c>
      <c r="DH29" s="42">
        <f t="shared" si="29"/>
        <v>0</v>
      </c>
      <c r="DI29" s="42">
        <f t="shared" si="29"/>
        <v>0</v>
      </c>
      <c r="DJ29" s="42">
        <f t="shared" si="29"/>
        <v>0</v>
      </c>
      <c r="DK29" s="42">
        <f t="shared" si="29"/>
        <v>0</v>
      </c>
      <c r="DL29" s="42">
        <f t="shared" si="29"/>
        <v>0</v>
      </c>
      <c r="DM29" s="42">
        <f t="shared" si="29"/>
        <v>0</v>
      </c>
      <c r="DN29" s="42">
        <f t="shared" si="29"/>
        <v>0</v>
      </c>
      <c r="DO29" s="42">
        <f t="shared" si="29"/>
        <v>0</v>
      </c>
      <c r="DP29" s="42">
        <f t="shared" si="29"/>
        <v>0</v>
      </c>
      <c r="DQ29" s="42">
        <f t="shared" si="29"/>
        <v>0</v>
      </c>
      <c r="DR29" s="42">
        <f t="shared" si="29"/>
        <v>0</v>
      </c>
      <c r="DS29" s="42">
        <f t="shared" si="29"/>
        <v>0</v>
      </c>
      <c r="DT29" s="42">
        <f t="shared" si="30"/>
        <v>0</v>
      </c>
      <c r="DU29" s="42">
        <f t="shared" si="30"/>
        <v>0</v>
      </c>
      <c r="DV29" s="42">
        <f t="shared" si="30"/>
        <v>0</v>
      </c>
      <c r="DW29" s="42">
        <f t="shared" si="30"/>
        <v>0</v>
      </c>
      <c r="DX29" s="42">
        <f t="shared" si="30"/>
        <v>0</v>
      </c>
      <c r="DY29" s="42"/>
      <c r="DZ29" s="42">
        <f t="shared" si="31"/>
        <v>0</v>
      </c>
      <c r="EB29" s="47">
        <f t="shared" si="15"/>
        <v>40000000</v>
      </c>
      <c r="EC29" s="47">
        <f t="shared" si="16"/>
        <v>40000000</v>
      </c>
      <c r="ED29" s="47">
        <f t="shared" si="17"/>
        <v>40000000</v>
      </c>
    </row>
    <row r="30" spans="1:136" ht="40.799999999999997" customHeight="1" x14ac:dyDescent="0.3">
      <c r="A30" s="48"/>
      <c r="B30" s="64"/>
      <c r="C30" s="55" t="s">
        <v>110</v>
      </c>
      <c r="D30" s="50" t="s">
        <v>111</v>
      </c>
      <c r="E30" s="40">
        <v>510</v>
      </c>
      <c r="F30" s="41" t="s">
        <v>53</v>
      </c>
      <c r="G30" s="42">
        <f t="shared" si="0"/>
        <v>10000000</v>
      </c>
      <c r="H30" s="42"/>
      <c r="I30" s="42">
        <v>6000000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>
        <v>4000000</v>
      </c>
      <c r="Y30" s="42"/>
      <c r="Z30" s="42"/>
      <c r="AA30" s="42"/>
      <c r="AB30" s="42"/>
      <c r="AC30" s="42"/>
      <c r="AD30" s="42"/>
      <c r="AE30" s="43"/>
      <c r="AF30" s="42">
        <f t="shared" si="24"/>
        <v>10000000</v>
      </c>
      <c r="AG30" s="42"/>
      <c r="AH30" s="42">
        <f>+'[4]JULIO 2019'!$K$2584</f>
        <v>6000000</v>
      </c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>
        <f>+'[4]JULIO 2019'!$Y$2584</f>
        <v>4000000</v>
      </c>
      <c r="AX30" s="42"/>
      <c r="AY30" s="42"/>
      <c r="AZ30" s="42"/>
      <c r="BA30" s="42"/>
      <c r="BB30" s="42"/>
      <c r="BC30" s="42"/>
      <c r="BD30" s="43">
        <f t="shared" si="3"/>
        <v>1</v>
      </c>
      <c r="BE30" s="42">
        <f t="shared" si="4"/>
        <v>0</v>
      </c>
      <c r="BF30" s="42">
        <f t="shared" si="25"/>
        <v>0</v>
      </c>
      <c r="BG30" s="42">
        <f t="shared" si="25"/>
        <v>0</v>
      </c>
      <c r="BH30" s="42">
        <f t="shared" si="25"/>
        <v>0</v>
      </c>
      <c r="BI30" s="42">
        <f t="shared" si="19"/>
        <v>0</v>
      </c>
      <c r="BJ30" s="42">
        <f t="shared" si="26"/>
        <v>0</v>
      </c>
      <c r="BK30" s="42">
        <f t="shared" si="26"/>
        <v>0</v>
      </c>
      <c r="BL30" s="42">
        <f t="shared" si="26"/>
        <v>0</v>
      </c>
      <c r="BM30" s="42">
        <f t="shared" si="26"/>
        <v>0</v>
      </c>
      <c r="BN30" s="42">
        <f t="shared" si="26"/>
        <v>0</v>
      </c>
      <c r="BO30" s="42">
        <f t="shared" si="26"/>
        <v>0</v>
      </c>
      <c r="BP30" s="42">
        <f t="shared" si="26"/>
        <v>0</v>
      </c>
      <c r="BQ30" s="42">
        <f t="shared" si="26"/>
        <v>0</v>
      </c>
      <c r="BR30" s="42">
        <f t="shared" si="26"/>
        <v>0</v>
      </c>
      <c r="BS30" s="42">
        <f t="shared" si="26"/>
        <v>0</v>
      </c>
      <c r="BT30" s="42">
        <f t="shared" si="26"/>
        <v>0</v>
      </c>
      <c r="BU30" s="42">
        <f t="shared" si="26"/>
        <v>0</v>
      </c>
      <c r="BV30" s="42">
        <f t="shared" si="26"/>
        <v>0</v>
      </c>
      <c r="BW30" s="42">
        <f t="shared" si="26"/>
        <v>0</v>
      </c>
      <c r="BX30" s="42">
        <f t="shared" si="26"/>
        <v>0</v>
      </c>
      <c r="BY30" s="42">
        <f t="shared" si="26"/>
        <v>0</v>
      </c>
      <c r="BZ30" s="42">
        <f t="shared" si="27"/>
        <v>0</v>
      </c>
      <c r="CA30" s="42"/>
      <c r="CB30" s="42">
        <f t="shared" si="28"/>
        <v>0</v>
      </c>
      <c r="CC30" s="43">
        <f t="shared" si="8"/>
        <v>0.755</v>
      </c>
      <c r="CD30" s="42">
        <f t="shared" si="9"/>
        <v>7550000</v>
      </c>
      <c r="CE30" s="42"/>
      <c r="CF30" s="42">
        <f>+'[4]JULIO 2019'!$H$2589</f>
        <v>3550000</v>
      </c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>
        <f>+'[4]JULIO 2019'!$H$2585</f>
        <v>4000000</v>
      </c>
      <c r="CV30" s="42"/>
      <c r="CW30" s="42"/>
      <c r="CX30" s="42"/>
      <c r="CY30" s="42"/>
      <c r="CZ30" s="42"/>
      <c r="DA30" s="42"/>
      <c r="DB30" s="43">
        <f t="shared" si="10"/>
        <v>0.245</v>
      </c>
      <c r="DC30" s="42">
        <f t="shared" si="11"/>
        <v>2450000</v>
      </c>
      <c r="DD30" s="42">
        <f t="shared" si="29"/>
        <v>0</v>
      </c>
      <c r="DE30" s="42">
        <f t="shared" si="29"/>
        <v>2450000</v>
      </c>
      <c r="DF30" s="42">
        <f t="shared" si="29"/>
        <v>0</v>
      </c>
      <c r="DG30" s="42">
        <f t="shared" si="29"/>
        <v>0</v>
      </c>
      <c r="DH30" s="42">
        <f t="shared" si="29"/>
        <v>0</v>
      </c>
      <c r="DI30" s="42">
        <f t="shared" si="29"/>
        <v>0</v>
      </c>
      <c r="DJ30" s="42">
        <f t="shared" si="29"/>
        <v>0</v>
      </c>
      <c r="DK30" s="42">
        <f t="shared" si="29"/>
        <v>0</v>
      </c>
      <c r="DL30" s="42">
        <f t="shared" si="29"/>
        <v>0</v>
      </c>
      <c r="DM30" s="42">
        <f t="shared" si="29"/>
        <v>0</v>
      </c>
      <c r="DN30" s="42">
        <f t="shared" si="29"/>
        <v>0</v>
      </c>
      <c r="DO30" s="42">
        <f t="shared" si="29"/>
        <v>0</v>
      </c>
      <c r="DP30" s="42">
        <f t="shared" si="29"/>
        <v>0</v>
      </c>
      <c r="DQ30" s="42">
        <f t="shared" si="29"/>
        <v>0</v>
      </c>
      <c r="DR30" s="42">
        <f t="shared" si="29"/>
        <v>0</v>
      </c>
      <c r="DS30" s="42">
        <f t="shared" si="29"/>
        <v>0</v>
      </c>
      <c r="DT30" s="42">
        <f t="shared" si="30"/>
        <v>0</v>
      </c>
      <c r="DU30" s="42">
        <f t="shared" si="30"/>
        <v>0</v>
      </c>
      <c r="DV30" s="42">
        <f t="shared" si="30"/>
        <v>0</v>
      </c>
      <c r="DW30" s="42">
        <f t="shared" si="30"/>
        <v>0</v>
      </c>
      <c r="DX30" s="42">
        <f t="shared" si="30"/>
        <v>0</v>
      </c>
      <c r="DY30" s="42"/>
      <c r="DZ30" s="42">
        <f t="shared" si="31"/>
        <v>0</v>
      </c>
      <c r="EB30" s="47">
        <f t="shared" si="15"/>
        <v>10000000</v>
      </c>
      <c r="EC30" s="47">
        <f t="shared" si="16"/>
        <v>10000000</v>
      </c>
      <c r="ED30" s="47">
        <f t="shared" si="17"/>
        <v>10000000</v>
      </c>
    </row>
    <row r="31" spans="1:136" ht="28.2" customHeight="1" x14ac:dyDescent="0.3">
      <c r="A31" s="48"/>
      <c r="B31" s="52" t="s">
        <v>112</v>
      </c>
      <c r="C31" s="55" t="s">
        <v>113</v>
      </c>
      <c r="D31" s="50" t="s">
        <v>114</v>
      </c>
      <c r="E31" s="40">
        <v>510</v>
      </c>
      <c r="F31" s="41" t="s">
        <v>53</v>
      </c>
      <c r="G31" s="42">
        <f t="shared" si="0"/>
        <v>4000000</v>
      </c>
      <c r="H31" s="42"/>
      <c r="I31" s="42">
        <v>4000000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3">
        <f t="shared" ref="AE31:AE83" si="32">+AF31/G31</f>
        <v>1</v>
      </c>
      <c r="AF31" s="42">
        <f t="shared" si="24"/>
        <v>4000000</v>
      </c>
      <c r="AG31" s="42"/>
      <c r="AH31" s="42">
        <f>+'[1]OCTUBRE 2019'!$G$3845</f>
        <v>4000000</v>
      </c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3">
        <f t="shared" si="3"/>
        <v>0</v>
      </c>
      <c r="BE31" s="42">
        <f t="shared" si="4"/>
        <v>0</v>
      </c>
      <c r="BF31" s="42">
        <f t="shared" si="25"/>
        <v>0</v>
      </c>
      <c r="BG31" s="42">
        <f t="shared" si="25"/>
        <v>0</v>
      </c>
      <c r="BH31" s="42">
        <f t="shared" si="25"/>
        <v>0</v>
      </c>
      <c r="BI31" s="42">
        <f t="shared" si="19"/>
        <v>0</v>
      </c>
      <c r="BJ31" s="42">
        <f t="shared" si="26"/>
        <v>0</v>
      </c>
      <c r="BK31" s="42">
        <f t="shared" si="26"/>
        <v>0</v>
      </c>
      <c r="BL31" s="42">
        <f t="shared" si="26"/>
        <v>0</v>
      </c>
      <c r="BM31" s="42">
        <f t="shared" si="26"/>
        <v>0</v>
      </c>
      <c r="BN31" s="42">
        <f t="shared" si="26"/>
        <v>0</v>
      </c>
      <c r="BO31" s="42">
        <f t="shared" si="26"/>
        <v>0</v>
      </c>
      <c r="BP31" s="42">
        <f t="shared" si="26"/>
        <v>0</v>
      </c>
      <c r="BQ31" s="42">
        <f t="shared" si="26"/>
        <v>0</v>
      </c>
      <c r="BR31" s="42">
        <f t="shared" si="26"/>
        <v>0</v>
      </c>
      <c r="BS31" s="42">
        <f t="shared" si="26"/>
        <v>0</v>
      </c>
      <c r="BT31" s="42">
        <f t="shared" si="26"/>
        <v>0</v>
      </c>
      <c r="BU31" s="42">
        <f t="shared" si="26"/>
        <v>0</v>
      </c>
      <c r="BV31" s="42">
        <f t="shared" si="26"/>
        <v>0</v>
      </c>
      <c r="BW31" s="42">
        <f t="shared" si="26"/>
        <v>0</v>
      </c>
      <c r="BX31" s="42">
        <f t="shared" si="26"/>
        <v>0</v>
      </c>
      <c r="BY31" s="42">
        <f t="shared" si="26"/>
        <v>0</v>
      </c>
      <c r="BZ31" s="42">
        <f t="shared" si="27"/>
        <v>0</v>
      </c>
      <c r="CA31" s="42"/>
      <c r="CB31" s="42">
        <f t="shared" si="28"/>
        <v>0</v>
      </c>
      <c r="CC31" s="43">
        <f t="shared" si="8"/>
        <v>0</v>
      </c>
      <c r="CD31" s="42">
        <f t="shared" si="9"/>
        <v>0</v>
      </c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3">
        <f t="shared" si="10"/>
        <v>1</v>
      </c>
      <c r="DC31" s="42">
        <f t="shared" si="11"/>
        <v>4000000</v>
      </c>
      <c r="DD31" s="42">
        <f t="shared" si="29"/>
        <v>0</v>
      </c>
      <c r="DE31" s="42">
        <f t="shared" si="29"/>
        <v>4000000</v>
      </c>
      <c r="DF31" s="42">
        <f t="shared" si="29"/>
        <v>0</v>
      </c>
      <c r="DG31" s="42">
        <f t="shared" si="29"/>
        <v>0</v>
      </c>
      <c r="DH31" s="42">
        <f t="shared" si="29"/>
        <v>0</v>
      </c>
      <c r="DI31" s="42">
        <f t="shared" si="29"/>
        <v>0</v>
      </c>
      <c r="DJ31" s="42">
        <f t="shared" si="29"/>
        <v>0</v>
      </c>
      <c r="DK31" s="42">
        <f t="shared" si="29"/>
        <v>0</v>
      </c>
      <c r="DL31" s="42">
        <f t="shared" si="29"/>
        <v>0</v>
      </c>
      <c r="DM31" s="42">
        <f t="shared" si="29"/>
        <v>0</v>
      </c>
      <c r="DN31" s="42">
        <f t="shared" si="29"/>
        <v>0</v>
      </c>
      <c r="DO31" s="42">
        <f t="shared" si="29"/>
        <v>0</v>
      </c>
      <c r="DP31" s="42">
        <f t="shared" si="29"/>
        <v>0</v>
      </c>
      <c r="DQ31" s="42">
        <f t="shared" si="29"/>
        <v>0</v>
      </c>
      <c r="DR31" s="42">
        <f t="shared" si="29"/>
        <v>0</v>
      </c>
      <c r="DS31" s="42">
        <f t="shared" si="29"/>
        <v>0</v>
      </c>
      <c r="DT31" s="42">
        <f t="shared" si="30"/>
        <v>0</v>
      </c>
      <c r="DU31" s="42">
        <f t="shared" si="30"/>
        <v>0</v>
      </c>
      <c r="DV31" s="42">
        <f t="shared" si="30"/>
        <v>0</v>
      </c>
      <c r="DW31" s="42">
        <f t="shared" si="30"/>
        <v>0</v>
      </c>
      <c r="DX31" s="42">
        <f t="shared" si="30"/>
        <v>0</v>
      </c>
      <c r="DY31" s="42"/>
      <c r="DZ31" s="42">
        <f t="shared" si="31"/>
        <v>0</v>
      </c>
      <c r="EB31" s="47">
        <f t="shared" si="15"/>
        <v>4000000</v>
      </c>
      <c r="EC31" s="47">
        <f t="shared" si="16"/>
        <v>4000000</v>
      </c>
      <c r="ED31" s="47">
        <f t="shared" si="17"/>
        <v>4000000</v>
      </c>
      <c r="EE31" s="47"/>
    </row>
    <row r="32" spans="1:136" ht="30" customHeight="1" x14ac:dyDescent="0.3">
      <c r="A32" s="48"/>
      <c r="B32" s="52"/>
      <c r="C32" s="55" t="s">
        <v>115</v>
      </c>
      <c r="D32" s="50" t="s">
        <v>116</v>
      </c>
      <c r="E32" s="40">
        <v>510</v>
      </c>
      <c r="F32" s="41" t="s">
        <v>117</v>
      </c>
      <c r="G32" s="42">
        <f t="shared" si="0"/>
        <v>82200000</v>
      </c>
      <c r="H32" s="42"/>
      <c r="I32" s="42">
        <v>75000000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>
        <f>3200000+4000000</f>
        <v>7200000</v>
      </c>
      <c r="AE32" s="43">
        <f t="shared" si="32"/>
        <v>1</v>
      </c>
      <c r="AF32" s="42">
        <f t="shared" si="24"/>
        <v>82200000</v>
      </c>
      <c r="AG32" s="42"/>
      <c r="AH32" s="42">
        <f>+'[10]ENERO 2019'!$K$943</f>
        <v>75000000</v>
      </c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>
        <f>+'[4]JULIO 2019'!$AF$2604</f>
        <v>7200000</v>
      </c>
      <c r="BD32" s="43">
        <f t="shared" si="3"/>
        <v>0</v>
      </c>
      <c r="BE32" s="42">
        <f t="shared" si="4"/>
        <v>0</v>
      </c>
      <c r="BF32" s="42">
        <f t="shared" si="25"/>
        <v>0</v>
      </c>
      <c r="BG32" s="42">
        <f t="shared" si="25"/>
        <v>0</v>
      </c>
      <c r="BH32" s="42">
        <f t="shared" si="25"/>
        <v>0</v>
      </c>
      <c r="BI32" s="42">
        <f t="shared" si="19"/>
        <v>0</v>
      </c>
      <c r="BJ32" s="42">
        <f t="shared" si="26"/>
        <v>0</v>
      </c>
      <c r="BK32" s="42">
        <f t="shared" si="26"/>
        <v>0</v>
      </c>
      <c r="BL32" s="42">
        <f t="shared" si="26"/>
        <v>0</v>
      </c>
      <c r="BM32" s="42">
        <f t="shared" si="26"/>
        <v>0</v>
      </c>
      <c r="BN32" s="42">
        <f t="shared" si="26"/>
        <v>0</v>
      </c>
      <c r="BO32" s="42">
        <f t="shared" si="26"/>
        <v>0</v>
      </c>
      <c r="BP32" s="42">
        <f t="shared" si="26"/>
        <v>0</v>
      </c>
      <c r="BQ32" s="42">
        <f t="shared" si="26"/>
        <v>0</v>
      </c>
      <c r="BR32" s="42">
        <f t="shared" si="26"/>
        <v>0</v>
      </c>
      <c r="BS32" s="42">
        <f t="shared" si="26"/>
        <v>0</v>
      </c>
      <c r="BT32" s="42">
        <f t="shared" si="26"/>
        <v>0</v>
      </c>
      <c r="BU32" s="42">
        <f t="shared" si="26"/>
        <v>0</v>
      </c>
      <c r="BV32" s="42">
        <f t="shared" si="26"/>
        <v>0</v>
      </c>
      <c r="BW32" s="42">
        <f t="shared" si="26"/>
        <v>0</v>
      </c>
      <c r="BX32" s="42">
        <f t="shared" si="26"/>
        <v>0</v>
      </c>
      <c r="BY32" s="42">
        <f t="shared" ref="BY32:BY38" si="33">AA32-AZ32</f>
        <v>0</v>
      </c>
      <c r="BZ32" s="42">
        <f t="shared" si="27"/>
        <v>0</v>
      </c>
      <c r="CA32" s="42"/>
      <c r="CB32" s="42">
        <f t="shared" si="28"/>
        <v>0</v>
      </c>
      <c r="CC32" s="43">
        <f t="shared" si="8"/>
        <v>0.97037478102189778</v>
      </c>
      <c r="CD32" s="42">
        <f t="shared" si="9"/>
        <v>79764807</v>
      </c>
      <c r="CE32" s="42"/>
      <c r="CF32" s="42">
        <f>+'[3]NOVIEMBRE 2019'!$H$4284</f>
        <v>74364807</v>
      </c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>
        <f>+'[8]AGOSTO 2019'!$H$2972+'[8]AGOSTO 2019'!$H$2977+'[8]AGOSTO 2019'!$H$2983</f>
        <v>5400000</v>
      </c>
      <c r="DB32" s="43">
        <f t="shared" si="10"/>
        <v>2.9625218978102219E-2</v>
      </c>
      <c r="DC32" s="42">
        <f t="shared" si="11"/>
        <v>2435193</v>
      </c>
      <c r="DD32" s="42">
        <f t="shared" si="29"/>
        <v>0</v>
      </c>
      <c r="DE32" s="42">
        <f t="shared" si="29"/>
        <v>635193</v>
      </c>
      <c r="DF32" s="42">
        <f t="shared" si="29"/>
        <v>0</v>
      </c>
      <c r="DG32" s="42">
        <f t="shared" si="29"/>
        <v>0</v>
      </c>
      <c r="DH32" s="42">
        <f t="shared" si="29"/>
        <v>0</v>
      </c>
      <c r="DI32" s="42">
        <f t="shared" si="29"/>
        <v>0</v>
      </c>
      <c r="DJ32" s="42">
        <f t="shared" si="29"/>
        <v>0</v>
      </c>
      <c r="DK32" s="42">
        <f t="shared" si="29"/>
        <v>0</v>
      </c>
      <c r="DL32" s="42">
        <f t="shared" si="29"/>
        <v>0</v>
      </c>
      <c r="DM32" s="42">
        <f t="shared" si="29"/>
        <v>0</v>
      </c>
      <c r="DN32" s="42">
        <f t="shared" si="29"/>
        <v>0</v>
      </c>
      <c r="DO32" s="42">
        <f t="shared" si="29"/>
        <v>0</v>
      </c>
      <c r="DP32" s="42">
        <f t="shared" si="29"/>
        <v>0</v>
      </c>
      <c r="DQ32" s="42">
        <f t="shared" si="29"/>
        <v>0</v>
      </c>
      <c r="DR32" s="42">
        <f t="shared" si="29"/>
        <v>0</v>
      </c>
      <c r="DS32" s="42">
        <f t="shared" si="29"/>
        <v>0</v>
      </c>
      <c r="DT32" s="42">
        <f t="shared" si="30"/>
        <v>0</v>
      </c>
      <c r="DU32" s="42">
        <f t="shared" si="30"/>
        <v>0</v>
      </c>
      <c r="DV32" s="42">
        <f t="shared" si="30"/>
        <v>0</v>
      </c>
      <c r="DW32" s="42">
        <f t="shared" si="30"/>
        <v>0</v>
      </c>
      <c r="DX32" s="42">
        <f t="shared" si="30"/>
        <v>0</v>
      </c>
      <c r="DY32" s="42"/>
      <c r="DZ32" s="42">
        <f t="shared" si="31"/>
        <v>1800000</v>
      </c>
      <c r="EB32" s="47">
        <f t="shared" si="15"/>
        <v>82200000</v>
      </c>
      <c r="EC32" s="47">
        <f t="shared" si="16"/>
        <v>82200000</v>
      </c>
      <c r="ED32" s="47">
        <f t="shared" si="17"/>
        <v>82200000</v>
      </c>
    </row>
    <row r="33" spans="1:136" ht="22.8" customHeight="1" x14ac:dyDescent="0.3">
      <c r="A33" s="48"/>
      <c r="B33" s="61" t="s">
        <v>118</v>
      </c>
      <c r="C33" s="38" t="s">
        <v>119</v>
      </c>
      <c r="D33" s="39" t="s">
        <v>120</v>
      </c>
      <c r="E33" s="40">
        <v>510</v>
      </c>
      <c r="F33" s="41" t="s">
        <v>53</v>
      </c>
      <c r="G33" s="42">
        <f t="shared" si="0"/>
        <v>5000000</v>
      </c>
      <c r="H33" s="42"/>
      <c r="I33" s="42">
        <f>12000000-7000000</f>
        <v>5000000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>
        <f>7000000-7000000</f>
        <v>0</v>
      </c>
      <c r="Z33" s="42"/>
      <c r="AA33" s="42"/>
      <c r="AB33" s="42"/>
      <c r="AC33" s="42"/>
      <c r="AD33" s="42"/>
      <c r="AE33" s="43">
        <f t="shared" si="32"/>
        <v>0.76508600000000004</v>
      </c>
      <c r="AF33" s="42">
        <f t="shared" si="24"/>
        <v>3825430</v>
      </c>
      <c r="AG33" s="42"/>
      <c r="AH33" s="42">
        <f>+'[3]NOVIEMBRE 2019'!$K$4336</f>
        <v>3825430</v>
      </c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3">
        <f t="shared" si="3"/>
        <v>0.23491399999999996</v>
      </c>
      <c r="BE33" s="42">
        <f t="shared" si="4"/>
        <v>1174570</v>
      </c>
      <c r="BF33" s="42">
        <f t="shared" si="25"/>
        <v>0</v>
      </c>
      <c r="BG33" s="42">
        <f t="shared" si="25"/>
        <v>1174570</v>
      </c>
      <c r="BH33" s="42">
        <f t="shared" si="25"/>
        <v>0</v>
      </c>
      <c r="BI33" s="42">
        <f t="shared" si="19"/>
        <v>0</v>
      </c>
      <c r="BJ33" s="42">
        <f t="shared" ref="BJ33:BX38" si="34">L33-AK33</f>
        <v>0</v>
      </c>
      <c r="BK33" s="42">
        <f t="shared" si="34"/>
        <v>0</v>
      </c>
      <c r="BL33" s="42">
        <f t="shared" si="34"/>
        <v>0</v>
      </c>
      <c r="BM33" s="42">
        <f t="shared" si="34"/>
        <v>0</v>
      </c>
      <c r="BN33" s="42">
        <f t="shared" si="34"/>
        <v>0</v>
      </c>
      <c r="BO33" s="42">
        <f t="shared" si="34"/>
        <v>0</v>
      </c>
      <c r="BP33" s="42">
        <f t="shared" si="34"/>
        <v>0</v>
      </c>
      <c r="BQ33" s="42">
        <f t="shared" si="34"/>
        <v>0</v>
      </c>
      <c r="BR33" s="42">
        <f t="shared" si="34"/>
        <v>0</v>
      </c>
      <c r="BS33" s="42">
        <f t="shared" si="34"/>
        <v>0</v>
      </c>
      <c r="BT33" s="42">
        <f t="shared" si="34"/>
        <v>0</v>
      </c>
      <c r="BU33" s="42">
        <f t="shared" si="34"/>
        <v>0</v>
      </c>
      <c r="BV33" s="42">
        <f t="shared" si="34"/>
        <v>0</v>
      </c>
      <c r="BW33" s="42">
        <f t="shared" si="34"/>
        <v>0</v>
      </c>
      <c r="BX33" s="42">
        <f t="shared" si="34"/>
        <v>0</v>
      </c>
      <c r="BY33" s="42">
        <f t="shared" si="33"/>
        <v>0</v>
      </c>
      <c r="BZ33" s="42">
        <f t="shared" si="27"/>
        <v>0</v>
      </c>
      <c r="CA33" s="42"/>
      <c r="CB33" s="42">
        <f t="shared" si="28"/>
        <v>0</v>
      </c>
      <c r="CC33" s="43">
        <f t="shared" si="8"/>
        <v>0.76508600000000004</v>
      </c>
      <c r="CD33" s="42">
        <f t="shared" si="9"/>
        <v>3825430</v>
      </c>
      <c r="CE33" s="42"/>
      <c r="CF33" s="42">
        <f>+'[1]OCTUBRE 2019'!$H$3905</f>
        <v>3825430</v>
      </c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3">
        <f t="shared" si="10"/>
        <v>0.23491399999999996</v>
      </c>
      <c r="DC33" s="42">
        <f t="shared" si="11"/>
        <v>1174570</v>
      </c>
      <c r="DD33" s="42">
        <f t="shared" si="29"/>
        <v>0</v>
      </c>
      <c r="DE33" s="42">
        <f t="shared" si="29"/>
        <v>1174570</v>
      </c>
      <c r="DF33" s="42">
        <f t="shared" si="29"/>
        <v>0</v>
      </c>
      <c r="DG33" s="42">
        <f t="shared" si="29"/>
        <v>0</v>
      </c>
      <c r="DH33" s="42">
        <f t="shared" si="29"/>
        <v>0</v>
      </c>
      <c r="DI33" s="42">
        <f t="shared" si="29"/>
        <v>0</v>
      </c>
      <c r="DJ33" s="42">
        <f t="shared" si="29"/>
        <v>0</v>
      </c>
      <c r="DK33" s="42">
        <f t="shared" si="29"/>
        <v>0</v>
      </c>
      <c r="DL33" s="42">
        <f t="shared" si="29"/>
        <v>0</v>
      </c>
      <c r="DM33" s="42">
        <f t="shared" si="29"/>
        <v>0</v>
      </c>
      <c r="DN33" s="42">
        <f t="shared" si="29"/>
        <v>0</v>
      </c>
      <c r="DO33" s="42">
        <f t="shared" si="29"/>
        <v>0</v>
      </c>
      <c r="DP33" s="42">
        <f t="shared" si="29"/>
        <v>0</v>
      </c>
      <c r="DQ33" s="42">
        <f t="shared" si="29"/>
        <v>0</v>
      </c>
      <c r="DR33" s="42">
        <f t="shared" si="29"/>
        <v>0</v>
      </c>
      <c r="DS33" s="42">
        <f t="shared" si="29"/>
        <v>0</v>
      </c>
      <c r="DT33" s="42">
        <f t="shared" si="30"/>
        <v>0</v>
      </c>
      <c r="DU33" s="42">
        <f t="shared" si="30"/>
        <v>0</v>
      </c>
      <c r="DV33" s="42">
        <f t="shared" si="30"/>
        <v>0</v>
      </c>
      <c r="DW33" s="42">
        <f t="shared" si="30"/>
        <v>0</v>
      </c>
      <c r="DX33" s="42">
        <f t="shared" si="30"/>
        <v>0</v>
      </c>
      <c r="DY33" s="42"/>
      <c r="DZ33" s="42">
        <f t="shared" si="31"/>
        <v>0</v>
      </c>
      <c r="EB33" s="47">
        <f t="shared" si="15"/>
        <v>5000000</v>
      </c>
      <c r="EC33" s="47">
        <f t="shared" si="16"/>
        <v>5000000</v>
      </c>
      <c r="ED33" s="47">
        <f t="shared" si="17"/>
        <v>5000000</v>
      </c>
    </row>
    <row r="34" spans="1:136" ht="19.2" customHeight="1" x14ac:dyDescent="0.3">
      <c r="A34" s="48"/>
      <c r="B34" s="62"/>
      <c r="C34" s="38" t="s">
        <v>121</v>
      </c>
      <c r="D34" s="39" t="s">
        <v>122</v>
      </c>
      <c r="E34" s="40">
        <v>510</v>
      </c>
      <c r="F34" s="41" t="s">
        <v>123</v>
      </c>
      <c r="G34" s="42">
        <f t="shared" si="0"/>
        <v>136500000</v>
      </c>
      <c r="H34" s="42"/>
      <c r="I34" s="42">
        <f>25000000+7000000</f>
        <v>32000000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>
        <v>25000000</v>
      </c>
      <c r="Y34" s="42">
        <f>18000000+7000000</f>
        <v>25000000</v>
      </c>
      <c r="Z34" s="42"/>
      <c r="AA34" s="42"/>
      <c r="AB34" s="42"/>
      <c r="AC34" s="42"/>
      <c r="AD34" s="42">
        <f>34000000+20000000+500000</f>
        <v>54500000</v>
      </c>
      <c r="AE34" s="43">
        <f t="shared" si="32"/>
        <v>0.92139340659340663</v>
      </c>
      <c r="AF34" s="42">
        <f t="shared" si="24"/>
        <v>125770200</v>
      </c>
      <c r="AG34" s="42"/>
      <c r="AH34" s="42">
        <f>+'[1]OCTUBRE 2019'!$K$3914</f>
        <v>31920200</v>
      </c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>
        <f>+'[4]JULIO 2019'!$Y$2648</f>
        <v>25000000</v>
      </c>
      <c r="AX34" s="42">
        <f>+'[3]NOVIEMBRE 2019'!$AA$4343</f>
        <v>25000000</v>
      </c>
      <c r="AY34" s="42"/>
      <c r="AZ34" s="42"/>
      <c r="BA34" s="42"/>
      <c r="BB34" s="42"/>
      <c r="BC34" s="42">
        <f>+'[3]NOVIEMBRE 2019'!$AG$4343</f>
        <v>43850000</v>
      </c>
      <c r="BD34" s="43">
        <f t="shared" si="3"/>
        <v>7.8606593406593372E-2</v>
      </c>
      <c r="BE34" s="42">
        <f t="shared" si="4"/>
        <v>10729800</v>
      </c>
      <c r="BF34" s="42">
        <f t="shared" si="25"/>
        <v>0</v>
      </c>
      <c r="BG34" s="42">
        <f t="shared" si="25"/>
        <v>79800</v>
      </c>
      <c r="BH34" s="42">
        <f t="shared" si="25"/>
        <v>0</v>
      </c>
      <c r="BI34" s="42">
        <f t="shared" si="19"/>
        <v>0</v>
      </c>
      <c r="BJ34" s="42">
        <f t="shared" si="34"/>
        <v>0</v>
      </c>
      <c r="BK34" s="42">
        <f t="shared" si="34"/>
        <v>0</v>
      </c>
      <c r="BL34" s="42">
        <f t="shared" si="34"/>
        <v>0</v>
      </c>
      <c r="BM34" s="42">
        <f t="shared" si="34"/>
        <v>0</v>
      </c>
      <c r="BN34" s="42">
        <f t="shared" si="34"/>
        <v>0</v>
      </c>
      <c r="BO34" s="42">
        <f t="shared" si="34"/>
        <v>0</v>
      </c>
      <c r="BP34" s="42">
        <f t="shared" si="34"/>
        <v>0</v>
      </c>
      <c r="BQ34" s="42">
        <f t="shared" si="34"/>
        <v>0</v>
      </c>
      <c r="BR34" s="42">
        <f t="shared" si="34"/>
        <v>0</v>
      </c>
      <c r="BS34" s="42">
        <f t="shared" si="34"/>
        <v>0</v>
      </c>
      <c r="BT34" s="42">
        <f t="shared" si="34"/>
        <v>0</v>
      </c>
      <c r="BU34" s="42">
        <f t="shared" si="34"/>
        <v>0</v>
      </c>
      <c r="BV34" s="42">
        <f t="shared" si="34"/>
        <v>0</v>
      </c>
      <c r="BW34" s="42">
        <f t="shared" si="34"/>
        <v>0</v>
      </c>
      <c r="BX34" s="42">
        <f t="shared" si="34"/>
        <v>0</v>
      </c>
      <c r="BY34" s="42">
        <f t="shared" si="33"/>
        <v>0</v>
      </c>
      <c r="BZ34" s="42">
        <f t="shared" si="27"/>
        <v>0</v>
      </c>
      <c r="CA34" s="42"/>
      <c r="CB34" s="42">
        <f t="shared" si="28"/>
        <v>10650000</v>
      </c>
      <c r="CC34" s="43">
        <f t="shared" si="8"/>
        <v>0.84984682051282057</v>
      </c>
      <c r="CD34" s="42">
        <f t="shared" si="9"/>
        <v>116004091</v>
      </c>
      <c r="CE34" s="42"/>
      <c r="CF34" s="42">
        <f>+'[3]NOVIEMBRE 2019'!$H$4344+'[3]NOVIEMBRE 2019'!$H$4356+'[3]NOVIEMBRE 2019'!$H$4358+'[3]NOVIEMBRE 2019'!$H$4359+'[3]NOVIEMBRE 2019'!$H$4360+'[3]NOVIEMBRE 2019'!$H$4367</f>
        <v>31920200</v>
      </c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>
        <f>+'[3]NOVIEMBRE 2019'!$H$4370+'[3]NOVIEMBRE 2019'!$Z$4376</f>
        <v>25000000</v>
      </c>
      <c r="CV34" s="42">
        <f>+'[3]NOVIEMBRE 2019'!$AA$4376-'[3]NOVIEMBRE 2019'!$I$4376+'[3]NOVIEMBRE 2019'!$H$4383+'[3]NOVIEMBRE 2019'!$H$4387+'[3]NOVIEMBRE 2019'!$H$4403</f>
        <v>15603891</v>
      </c>
      <c r="CW34" s="42"/>
      <c r="CX34" s="42"/>
      <c r="CY34" s="42"/>
      <c r="CZ34" s="42"/>
      <c r="DA34" s="42">
        <f>+'[3]NOVIEMBRE 2019'!$H$4349+'[3]NOVIEMBRE 2019'!$H$4365+'[3]NOVIEMBRE 2019'!$H$4368+'[3]NOVIEMBRE 2019'!$H$4390+'[3]NOVIEMBRE 2019'!$H$4393+'[3]NOVIEMBRE 2019'!$H$4397+'[3]NOVIEMBRE 2019'!$H$4400+'[3]NOVIEMBRE 2019'!$H$4406</f>
        <v>43480000</v>
      </c>
      <c r="DB34" s="43">
        <f t="shared" si="10"/>
        <v>0.15015317948717943</v>
      </c>
      <c r="DC34" s="42">
        <f t="shared" si="11"/>
        <v>20495909</v>
      </c>
      <c r="DD34" s="42">
        <f t="shared" si="29"/>
        <v>0</v>
      </c>
      <c r="DE34" s="42">
        <f t="shared" si="29"/>
        <v>79800</v>
      </c>
      <c r="DF34" s="42">
        <f t="shared" si="29"/>
        <v>0</v>
      </c>
      <c r="DG34" s="42">
        <f t="shared" si="29"/>
        <v>0</v>
      </c>
      <c r="DH34" s="42">
        <f t="shared" si="29"/>
        <v>0</v>
      </c>
      <c r="DI34" s="42">
        <f t="shared" si="29"/>
        <v>0</v>
      </c>
      <c r="DJ34" s="42">
        <f t="shared" si="29"/>
        <v>0</v>
      </c>
      <c r="DK34" s="42">
        <f t="shared" si="29"/>
        <v>0</v>
      </c>
      <c r="DL34" s="42">
        <f t="shared" si="29"/>
        <v>0</v>
      </c>
      <c r="DM34" s="42">
        <f t="shared" si="29"/>
        <v>0</v>
      </c>
      <c r="DN34" s="42">
        <f t="shared" si="29"/>
        <v>0</v>
      </c>
      <c r="DO34" s="42">
        <f t="shared" si="29"/>
        <v>0</v>
      </c>
      <c r="DP34" s="42">
        <f t="shared" si="29"/>
        <v>0</v>
      </c>
      <c r="DQ34" s="42">
        <f t="shared" si="29"/>
        <v>0</v>
      </c>
      <c r="DR34" s="42">
        <f t="shared" si="29"/>
        <v>0</v>
      </c>
      <c r="DS34" s="42">
        <f t="shared" si="29"/>
        <v>0</v>
      </c>
      <c r="DT34" s="42">
        <f t="shared" si="30"/>
        <v>0</v>
      </c>
      <c r="DU34" s="42">
        <f t="shared" si="30"/>
        <v>9396109</v>
      </c>
      <c r="DV34" s="42">
        <f t="shared" si="30"/>
        <v>0</v>
      </c>
      <c r="DW34" s="42">
        <f t="shared" si="30"/>
        <v>0</v>
      </c>
      <c r="DX34" s="42">
        <f t="shared" si="30"/>
        <v>0</v>
      </c>
      <c r="DY34" s="42"/>
      <c r="DZ34" s="42">
        <f t="shared" si="31"/>
        <v>11020000</v>
      </c>
      <c r="EB34" s="47">
        <f t="shared" si="15"/>
        <v>136500000</v>
      </c>
      <c r="EC34" s="47">
        <f t="shared" si="16"/>
        <v>136500000</v>
      </c>
      <c r="ED34" s="47">
        <f t="shared" si="17"/>
        <v>136500000</v>
      </c>
    </row>
    <row r="35" spans="1:136" ht="21.6" customHeight="1" x14ac:dyDescent="0.3">
      <c r="A35" s="48"/>
      <c r="B35" s="65" t="s">
        <v>124</v>
      </c>
      <c r="C35" s="38" t="s">
        <v>125</v>
      </c>
      <c r="D35" s="39" t="s">
        <v>126</v>
      </c>
      <c r="E35" s="40">
        <v>211</v>
      </c>
      <c r="F35" s="41" t="s">
        <v>127</v>
      </c>
      <c r="G35" s="42">
        <f t="shared" si="0"/>
        <v>1014978084</v>
      </c>
      <c r="H35" s="42"/>
      <c r="I35" s="42"/>
      <c r="J35" s="42"/>
      <c r="K35" s="42"/>
      <c r="L35" s="42"/>
      <c r="M35" s="42"/>
      <c r="N35" s="42">
        <v>244096406</v>
      </c>
      <c r="O35" s="42">
        <v>300000000</v>
      </c>
      <c r="P35" s="42">
        <f>20000000+30000000</f>
        <v>50000000</v>
      </c>
      <c r="Q35" s="42"/>
      <c r="R35" s="42">
        <v>40000000</v>
      </c>
      <c r="S35" s="42"/>
      <c r="T35" s="42"/>
      <c r="U35" s="42">
        <f>40000000+11586236</f>
        <v>51586236</v>
      </c>
      <c r="V35" s="42"/>
      <c r="W35" s="42">
        <v>30000000</v>
      </c>
      <c r="X35" s="42"/>
      <c r="Y35" s="42"/>
      <c r="Z35" s="42"/>
      <c r="AA35" s="42"/>
      <c r="AB35" s="42"/>
      <c r="AC35" s="42"/>
      <c r="AD35" s="42">
        <f>181433693+21979601+51331966+5478895+35000000+4071287</f>
        <v>299295442</v>
      </c>
      <c r="AE35" s="43">
        <f t="shared" si="32"/>
        <v>0.88311310670625276</v>
      </c>
      <c r="AF35" s="42">
        <f t="shared" si="24"/>
        <v>896340449</v>
      </c>
      <c r="AG35" s="42"/>
      <c r="AH35" s="42"/>
      <c r="AI35" s="42"/>
      <c r="AJ35" s="42"/>
      <c r="AK35" s="42"/>
      <c r="AL35" s="42"/>
      <c r="AM35" s="42">
        <f>+'[3]NOVIEMBRE 2019'!$P$572</f>
        <v>244096406</v>
      </c>
      <c r="AN35" s="42">
        <f>+'[6]MARZO 2019'!$P$138</f>
        <v>300000000</v>
      </c>
      <c r="AO35" s="42">
        <f>+'[3]NOVIEMBRE 2019'!$R$572</f>
        <v>50000000</v>
      </c>
      <c r="AP35" s="42"/>
      <c r="AQ35" s="42">
        <f>+'[3]NOVIEMBRE 2019'!$T$572</f>
        <v>40000000</v>
      </c>
      <c r="AR35" s="42"/>
      <c r="AS35" s="42"/>
      <c r="AT35" s="42"/>
      <c r="AU35" s="42"/>
      <c r="AV35" s="42">
        <f>+'[2]SEPTIEMBRE 2019'!$Y$443</f>
        <v>30000000</v>
      </c>
      <c r="AW35" s="42"/>
      <c r="AX35" s="42"/>
      <c r="AY35" s="42"/>
      <c r="AZ35" s="42"/>
      <c r="BA35" s="42"/>
      <c r="BB35" s="42"/>
      <c r="BC35" s="42">
        <f>+'[2]SEPTIEMBRE 2019'!$AG$443</f>
        <v>232244043</v>
      </c>
      <c r="BD35" s="43">
        <f t="shared" si="3"/>
        <v>0.11688689329374724</v>
      </c>
      <c r="BE35" s="42">
        <f t="shared" si="4"/>
        <v>118637635</v>
      </c>
      <c r="BF35" s="42">
        <f t="shared" si="25"/>
        <v>0</v>
      </c>
      <c r="BG35" s="42">
        <f t="shared" si="25"/>
        <v>0</v>
      </c>
      <c r="BH35" s="42">
        <f t="shared" si="25"/>
        <v>0</v>
      </c>
      <c r="BI35" s="42">
        <f t="shared" si="19"/>
        <v>0</v>
      </c>
      <c r="BJ35" s="42">
        <f t="shared" si="34"/>
        <v>0</v>
      </c>
      <c r="BK35" s="42">
        <f t="shared" si="34"/>
        <v>0</v>
      </c>
      <c r="BL35" s="42">
        <f t="shared" si="34"/>
        <v>0</v>
      </c>
      <c r="BM35" s="42">
        <f t="shared" si="34"/>
        <v>0</v>
      </c>
      <c r="BN35" s="42">
        <f t="shared" si="34"/>
        <v>0</v>
      </c>
      <c r="BO35" s="42">
        <f t="shared" si="34"/>
        <v>0</v>
      </c>
      <c r="BP35" s="42">
        <f t="shared" si="34"/>
        <v>0</v>
      </c>
      <c r="BQ35" s="42">
        <f t="shared" si="34"/>
        <v>0</v>
      </c>
      <c r="BR35" s="42">
        <f t="shared" si="34"/>
        <v>0</v>
      </c>
      <c r="BS35" s="42">
        <f t="shared" si="34"/>
        <v>51586236</v>
      </c>
      <c r="BT35" s="42">
        <f t="shared" si="34"/>
        <v>0</v>
      </c>
      <c r="BU35" s="42">
        <f t="shared" si="34"/>
        <v>0</v>
      </c>
      <c r="BV35" s="42">
        <f t="shared" si="34"/>
        <v>0</v>
      </c>
      <c r="BW35" s="42">
        <f t="shared" si="34"/>
        <v>0</v>
      </c>
      <c r="BX35" s="42">
        <f t="shared" si="34"/>
        <v>0</v>
      </c>
      <c r="BY35" s="42">
        <f t="shared" si="33"/>
        <v>0</v>
      </c>
      <c r="BZ35" s="42">
        <f t="shared" si="27"/>
        <v>0</v>
      </c>
      <c r="CA35" s="42"/>
      <c r="CB35" s="42">
        <f t="shared" si="28"/>
        <v>67051399</v>
      </c>
      <c r="CC35" s="43">
        <f t="shared" si="8"/>
        <v>0.78072269390991111</v>
      </c>
      <c r="CD35" s="42">
        <f t="shared" si="9"/>
        <v>792416424</v>
      </c>
      <c r="CE35" s="42"/>
      <c r="CF35" s="42"/>
      <c r="CG35" s="42"/>
      <c r="CH35" s="42"/>
      <c r="CI35" s="42"/>
      <c r="CJ35" s="42"/>
      <c r="CK35" s="42">
        <f>+'[3]NOVIEMBRE 2019'!$H$578+'[3]NOVIEMBRE 2019'!$H$607</f>
        <v>236438964</v>
      </c>
      <c r="CL35" s="42">
        <f>+'[11]ABRIL 2019'!$H$163</f>
        <v>300000000</v>
      </c>
      <c r="CM35" s="42"/>
      <c r="CN35" s="42"/>
      <c r="CO35" s="42"/>
      <c r="CP35" s="42"/>
      <c r="CQ35" s="42"/>
      <c r="CR35" s="42"/>
      <c r="CS35" s="42"/>
      <c r="CT35" s="42">
        <f>+'[5]JUNIO 2019'!$H$235</f>
        <v>27384000</v>
      </c>
      <c r="CU35" s="42"/>
      <c r="CV35" s="42"/>
      <c r="CW35" s="42"/>
      <c r="CX35" s="42"/>
      <c r="CY35" s="42"/>
      <c r="CZ35" s="42"/>
      <c r="DA35" s="42">
        <f>+'[3]NOVIEMBRE 2019'!$H$573+'[3]NOVIEMBRE 2019'!$H$582+'[3]NOVIEMBRE 2019'!$H$585+'[3]NOVIEMBRE 2019'!$H$591+'[3]NOVIEMBRE 2019'!$H$594+'[3]NOVIEMBRE 2019'!$H$597+'[3]NOVIEMBRE 2019'!$H$602+'[3]NOVIEMBRE 2019'!$H$604+'[3]NOVIEMBRE 2019'!$H$610+'[3]NOVIEMBRE 2019'!$H$619+'[3]NOVIEMBRE 2019'!$H$625+'[3]NOVIEMBRE 2019'!$H$628</f>
        <v>228593460</v>
      </c>
      <c r="DB35" s="43">
        <f t="shared" si="10"/>
        <v>0.21927730609008889</v>
      </c>
      <c r="DC35" s="42">
        <f t="shared" si="11"/>
        <v>222561660</v>
      </c>
      <c r="DD35" s="42">
        <f t="shared" si="29"/>
        <v>0</v>
      </c>
      <c r="DE35" s="42">
        <f t="shared" si="29"/>
        <v>0</v>
      </c>
      <c r="DF35" s="42">
        <f t="shared" si="29"/>
        <v>0</v>
      </c>
      <c r="DG35" s="42">
        <f t="shared" si="29"/>
        <v>0</v>
      </c>
      <c r="DH35" s="42">
        <f t="shared" si="29"/>
        <v>0</v>
      </c>
      <c r="DI35" s="42">
        <f t="shared" si="29"/>
        <v>0</v>
      </c>
      <c r="DJ35" s="42">
        <f t="shared" ref="DJ35:DS38" si="35">N35-CK35</f>
        <v>7657442</v>
      </c>
      <c r="DK35" s="42">
        <f t="shared" si="35"/>
        <v>0</v>
      </c>
      <c r="DL35" s="42">
        <f t="shared" si="35"/>
        <v>50000000</v>
      </c>
      <c r="DM35" s="42">
        <f t="shared" si="35"/>
        <v>0</v>
      </c>
      <c r="DN35" s="42">
        <f t="shared" si="35"/>
        <v>40000000</v>
      </c>
      <c r="DO35" s="42">
        <f t="shared" si="35"/>
        <v>0</v>
      </c>
      <c r="DP35" s="42">
        <f t="shared" si="35"/>
        <v>0</v>
      </c>
      <c r="DQ35" s="42">
        <f t="shared" si="35"/>
        <v>51586236</v>
      </c>
      <c r="DR35" s="42">
        <f t="shared" si="35"/>
        <v>0</v>
      </c>
      <c r="DS35" s="42">
        <f t="shared" si="35"/>
        <v>2616000</v>
      </c>
      <c r="DT35" s="42">
        <f t="shared" si="30"/>
        <v>0</v>
      </c>
      <c r="DU35" s="42">
        <f t="shared" si="30"/>
        <v>0</v>
      </c>
      <c r="DV35" s="42">
        <f t="shared" si="30"/>
        <v>0</v>
      </c>
      <c r="DW35" s="42">
        <f t="shared" si="30"/>
        <v>0</v>
      </c>
      <c r="DX35" s="42">
        <f t="shared" si="30"/>
        <v>0</v>
      </c>
      <c r="DY35" s="42"/>
      <c r="DZ35" s="42">
        <f t="shared" si="31"/>
        <v>70701982</v>
      </c>
      <c r="EB35" s="47">
        <f t="shared" si="15"/>
        <v>1014978084</v>
      </c>
      <c r="EC35" s="47">
        <f t="shared" si="16"/>
        <v>1014978084</v>
      </c>
      <c r="ED35" s="47">
        <f t="shared" si="17"/>
        <v>1014978084</v>
      </c>
    </row>
    <row r="36" spans="1:136" ht="60" customHeight="1" x14ac:dyDescent="0.3">
      <c r="A36" s="48"/>
      <c r="B36" s="65"/>
      <c r="C36" s="38" t="s">
        <v>128</v>
      </c>
      <c r="D36" s="39" t="s">
        <v>129</v>
      </c>
      <c r="E36" s="40">
        <v>510</v>
      </c>
      <c r="F36" s="41" t="s">
        <v>53</v>
      </c>
      <c r="G36" s="42">
        <f t="shared" si="0"/>
        <v>5000000</v>
      </c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>
        <v>5000000</v>
      </c>
      <c r="Y36" s="42"/>
      <c r="Z36" s="42"/>
      <c r="AA36" s="42"/>
      <c r="AB36" s="42"/>
      <c r="AC36" s="42"/>
      <c r="AD36" s="42"/>
      <c r="AE36" s="43">
        <f t="shared" si="32"/>
        <v>1</v>
      </c>
      <c r="AF36" s="42">
        <f t="shared" si="24"/>
        <v>5000000</v>
      </c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>
        <f>+'[8]AGOSTO 2019'!$Y$3052</f>
        <v>5000000</v>
      </c>
      <c r="AX36" s="42"/>
      <c r="AY36" s="42"/>
      <c r="AZ36" s="42"/>
      <c r="BA36" s="42"/>
      <c r="BB36" s="42"/>
      <c r="BC36" s="42"/>
      <c r="BD36" s="43">
        <f t="shared" si="3"/>
        <v>0</v>
      </c>
      <c r="BE36" s="42">
        <f t="shared" si="4"/>
        <v>0</v>
      </c>
      <c r="BF36" s="42">
        <f t="shared" si="25"/>
        <v>0</v>
      </c>
      <c r="BG36" s="42">
        <f t="shared" si="25"/>
        <v>0</v>
      </c>
      <c r="BH36" s="42">
        <f t="shared" si="25"/>
        <v>0</v>
      </c>
      <c r="BI36" s="42">
        <f t="shared" si="19"/>
        <v>0</v>
      </c>
      <c r="BJ36" s="42">
        <f t="shared" si="34"/>
        <v>0</v>
      </c>
      <c r="BK36" s="42">
        <f t="shared" si="34"/>
        <v>0</v>
      </c>
      <c r="BL36" s="42">
        <f t="shared" si="34"/>
        <v>0</v>
      </c>
      <c r="BM36" s="42">
        <f t="shared" si="34"/>
        <v>0</v>
      </c>
      <c r="BN36" s="42">
        <f t="shared" si="34"/>
        <v>0</v>
      </c>
      <c r="BO36" s="42">
        <f t="shared" si="34"/>
        <v>0</v>
      </c>
      <c r="BP36" s="42">
        <f t="shared" si="34"/>
        <v>0</v>
      </c>
      <c r="BQ36" s="42">
        <f t="shared" si="34"/>
        <v>0</v>
      </c>
      <c r="BR36" s="42">
        <f t="shared" si="34"/>
        <v>0</v>
      </c>
      <c r="BS36" s="42">
        <f t="shared" si="34"/>
        <v>0</v>
      </c>
      <c r="BT36" s="42">
        <f t="shared" si="34"/>
        <v>0</v>
      </c>
      <c r="BU36" s="42">
        <f t="shared" si="34"/>
        <v>0</v>
      </c>
      <c r="BV36" s="42">
        <f t="shared" si="34"/>
        <v>0</v>
      </c>
      <c r="BW36" s="42">
        <f t="shared" si="34"/>
        <v>0</v>
      </c>
      <c r="BX36" s="42">
        <f t="shared" si="34"/>
        <v>0</v>
      </c>
      <c r="BY36" s="42">
        <f t="shared" si="33"/>
        <v>0</v>
      </c>
      <c r="BZ36" s="42">
        <f t="shared" si="27"/>
        <v>0</v>
      </c>
      <c r="CA36" s="42"/>
      <c r="CB36" s="42">
        <f t="shared" si="28"/>
        <v>0</v>
      </c>
      <c r="CC36" s="43">
        <f t="shared" si="8"/>
        <v>0.24466660000000001</v>
      </c>
      <c r="CD36" s="42">
        <f t="shared" si="9"/>
        <v>1223333</v>
      </c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>
        <f>+'[3]NOVIEMBRE 2019'!$H$4416</f>
        <v>1223333</v>
      </c>
      <c r="CV36" s="42"/>
      <c r="CW36" s="42"/>
      <c r="CX36" s="42"/>
      <c r="CY36" s="42"/>
      <c r="CZ36" s="42"/>
      <c r="DA36" s="42"/>
      <c r="DB36" s="43">
        <f t="shared" si="10"/>
        <v>0.75533340000000004</v>
      </c>
      <c r="DC36" s="42">
        <f t="shared" si="11"/>
        <v>3776667</v>
      </c>
      <c r="DD36" s="42">
        <f t="shared" ref="DD36:DI38" si="36">H36-CE36</f>
        <v>0</v>
      </c>
      <c r="DE36" s="42">
        <f t="shared" si="36"/>
        <v>0</v>
      </c>
      <c r="DF36" s="42">
        <f t="shared" si="36"/>
        <v>0</v>
      </c>
      <c r="DG36" s="42">
        <f t="shared" si="36"/>
        <v>0</v>
      </c>
      <c r="DH36" s="42">
        <f t="shared" si="36"/>
        <v>0</v>
      </c>
      <c r="DI36" s="42">
        <f t="shared" si="36"/>
        <v>0</v>
      </c>
      <c r="DJ36" s="42">
        <f t="shared" si="35"/>
        <v>0</v>
      </c>
      <c r="DK36" s="42">
        <f t="shared" si="35"/>
        <v>0</v>
      </c>
      <c r="DL36" s="42">
        <f t="shared" si="35"/>
        <v>0</v>
      </c>
      <c r="DM36" s="42">
        <f t="shared" si="35"/>
        <v>0</v>
      </c>
      <c r="DN36" s="42">
        <f t="shared" si="35"/>
        <v>0</v>
      </c>
      <c r="DO36" s="42">
        <f t="shared" si="35"/>
        <v>0</v>
      </c>
      <c r="DP36" s="42">
        <f t="shared" si="35"/>
        <v>0</v>
      </c>
      <c r="DQ36" s="42">
        <f t="shared" si="35"/>
        <v>0</v>
      </c>
      <c r="DR36" s="42">
        <f t="shared" si="35"/>
        <v>0</v>
      </c>
      <c r="DS36" s="42">
        <f t="shared" si="35"/>
        <v>0</v>
      </c>
      <c r="DT36" s="42">
        <f t="shared" si="30"/>
        <v>3776667</v>
      </c>
      <c r="DU36" s="42">
        <f t="shared" si="30"/>
        <v>0</v>
      </c>
      <c r="DV36" s="42">
        <f t="shared" si="30"/>
        <v>0</v>
      </c>
      <c r="DW36" s="42">
        <f t="shared" si="30"/>
        <v>0</v>
      </c>
      <c r="DX36" s="42">
        <f t="shared" si="30"/>
        <v>0</v>
      </c>
      <c r="DY36" s="42"/>
      <c r="DZ36" s="42">
        <f t="shared" si="31"/>
        <v>0</v>
      </c>
      <c r="EB36" s="47">
        <f t="shared" si="15"/>
        <v>5000000</v>
      </c>
      <c r="EC36" s="47">
        <f t="shared" si="16"/>
        <v>5000000</v>
      </c>
      <c r="ED36" s="47">
        <f t="shared" si="17"/>
        <v>5000000</v>
      </c>
    </row>
    <row r="37" spans="1:136" ht="26.4" customHeight="1" x14ac:dyDescent="0.3">
      <c r="A37" s="48"/>
      <c r="B37" s="65"/>
      <c r="C37" s="38" t="s">
        <v>130</v>
      </c>
      <c r="D37" s="39" t="s">
        <v>131</v>
      </c>
      <c r="E37" s="40">
        <v>510</v>
      </c>
      <c r="F37" s="41" t="s">
        <v>53</v>
      </c>
      <c r="G37" s="42">
        <f t="shared" si="0"/>
        <v>5000000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>
        <v>5000000</v>
      </c>
      <c r="Y37" s="42"/>
      <c r="Z37" s="42"/>
      <c r="AA37" s="42"/>
      <c r="AB37" s="42"/>
      <c r="AC37" s="42"/>
      <c r="AD37" s="42"/>
      <c r="AE37" s="43">
        <f t="shared" si="32"/>
        <v>1</v>
      </c>
      <c r="AF37" s="42">
        <f t="shared" si="24"/>
        <v>5000000</v>
      </c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>
        <f>+'[8]AGOSTO 2019'!$Y$3058</f>
        <v>5000000</v>
      </c>
      <c r="AX37" s="42"/>
      <c r="AY37" s="42"/>
      <c r="AZ37" s="42"/>
      <c r="BA37" s="42"/>
      <c r="BB37" s="42"/>
      <c r="BC37" s="42"/>
      <c r="BD37" s="43">
        <f t="shared" si="3"/>
        <v>0</v>
      </c>
      <c r="BE37" s="42">
        <f t="shared" si="4"/>
        <v>0</v>
      </c>
      <c r="BF37" s="42">
        <f t="shared" si="25"/>
        <v>0</v>
      </c>
      <c r="BG37" s="42">
        <f t="shared" si="25"/>
        <v>0</v>
      </c>
      <c r="BH37" s="42">
        <f t="shared" si="25"/>
        <v>0</v>
      </c>
      <c r="BI37" s="42">
        <f t="shared" si="19"/>
        <v>0</v>
      </c>
      <c r="BJ37" s="42">
        <f t="shared" si="34"/>
        <v>0</v>
      </c>
      <c r="BK37" s="42">
        <f t="shared" si="34"/>
        <v>0</v>
      </c>
      <c r="BL37" s="42">
        <f t="shared" si="34"/>
        <v>0</v>
      </c>
      <c r="BM37" s="42">
        <f t="shared" si="34"/>
        <v>0</v>
      </c>
      <c r="BN37" s="42">
        <f t="shared" si="34"/>
        <v>0</v>
      </c>
      <c r="BO37" s="42">
        <f t="shared" si="34"/>
        <v>0</v>
      </c>
      <c r="BP37" s="42">
        <f t="shared" si="34"/>
        <v>0</v>
      </c>
      <c r="BQ37" s="42">
        <f t="shared" si="34"/>
        <v>0</v>
      </c>
      <c r="BR37" s="42">
        <f t="shared" si="34"/>
        <v>0</v>
      </c>
      <c r="BS37" s="42">
        <f t="shared" si="34"/>
        <v>0</v>
      </c>
      <c r="BT37" s="42">
        <f t="shared" si="34"/>
        <v>0</v>
      </c>
      <c r="BU37" s="42">
        <f t="shared" si="34"/>
        <v>0</v>
      </c>
      <c r="BV37" s="42">
        <f t="shared" si="34"/>
        <v>0</v>
      </c>
      <c r="BW37" s="42">
        <f t="shared" si="34"/>
        <v>0</v>
      </c>
      <c r="BX37" s="42">
        <f t="shared" si="34"/>
        <v>0</v>
      </c>
      <c r="BY37" s="42">
        <f t="shared" si="33"/>
        <v>0</v>
      </c>
      <c r="BZ37" s="42">
        <f t="shared" si="27"/>
        <v>0</v>
      </c>
      <c r="CA37" s="42"/>
      <c r="CB37" s="42">
        <f t="shared" si="28"/>
        <v>0</v>
      </c>
      <c r="CC37" s="43">
        <f t="shared" si="8"/>
        <v>1</v>
      </c>
      <c r="CD37" s="42">
        <f t="shared" si="9"/>
        <v>5000000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>
        <f>+'[3]NOVIEMBRE 2019'!$H$4422</f>
        <v>5000000</v>
      </c>
      <c r="CV37" s="42"/>
      <c r="CW37" s="42"/>
      <c r="CX37" s="42"/>
      <c r="CY37" s="42"/>
      <c r="CZ37" s="42"/>
      <c r="DA37" s="42"/>
      <c r="DB37" s="43">
        <f t="shared" si="10"/>
        <v>0</v>
      </c>
      <c r="DC37" s="42">
        <f t="shared" si="11"/>
        <v>0</v>
      </c>
      <c r="DD37" s="42">
        <f t="shared" si="36"/>
        <v>0</v>
      </c>
      <c r="DE37" s="42">
        <f t="shared" si="36"/>
        <v>0</v>
      </c>
      <c r="DF37" s="42">
        <f t="shared" si="36"/>
        <v>0</v>
      </c>
      <c r="DG37" s="42">
        <f t="shared" si="36"/>
        <v>0</v>
      </c>
      <c r="DH37" s="42">
        <f t="shared" si="36"/>
        <v>0</v>
      </c>
      <c r="DI37" s="42">
        <f t="shared" si="36"/>
        <v>0</v>
      </c>
      <c r="DJ37" s="42">
        <f t="shared" si="35"/>
        <v>0</v>
      </c>
      <c r="DK37" s="42">
        <f t="shared" si="35"/>
        <v>0</v>
      </c>
      <c r="DL37" s="42">
        <f t="shared" si="35"/>
        <v>0</v>
      </c>
      <c r="DM37" s="42">
        <f t="shared" si="35"/>
        <v>0</v>
      </c>
      <c r="DN37" s="42">
        <f t="shared" si="35"/>
        <v>0</v>
      </c>
      <c r="DO37" s="42">
        <f t="shared" si="35"/>
        <v>0</v>
      </c>
      <c r="DP37" s="42">
        <f t="shared" si="35"/>
        <v>0</v>
      </c>
      <c r="DQ37" s="42">
        <f t="shared" si="35"/>
        <v>0</v>
      </c>
      <c r="DR37" s="42">
        <f t="shared" si="35"/>
        <v>0</v>
      </c>
      <c r="DS37" s="42">
        <f t="shared" si="35"/>
        <v>0</v>
      </c>
      <c r="DT37" s="42">
        <f t="shared" si="30"/>
        <v>0</v>
      </c>
      <c r="DU37" s="42">
        <f t="shared" si="30"/>
        <v>0</v>
      </c>
      <c r="DV37" s="42">
        <f t="shared" si="30"/>
        <v>0</v>
      </c>
      <c r="DW37" s="42">
        <f t="shared" si="30"/>
        <v>0</v>
      </c>
      <c r="DX37" s="42">
        <f t="shared" si="30"/>
        <v>0</v>
      </c>
      <c r="DY37" s="42"/>
      <c r="DZ37" s="42">
        <f t="shared" si="31"/>
        <v>0</v>
      </c>
      <c r="EB37" s="47">
        <f t="shared" si="15"/>
        <v>5000000</v>
      </c>
      <c r="EC37" s="47">
        <f t="shared" si="16"/>
        <v>5000000</v>
      </c>
      <c r="ED37" s="47">
        <f t="shared" si="17"/>
        <v>5000000</v>
      </c>
    </row>
    <row r="38" spans="1:136" ht="57" customHeight="1" x14ac:dyDescent="0.3">
      <c r="A38" s="66"/>
      <c r="B38" s="65"/>
      <c r="C38" s="38" t="s">
        <v>132</v>
      </c>
      <c r="D38" s="39" t="s">
        <v>133</v>
      </c>
      <c r="E38" s="40">
        <v>510</v>
      </c>
      <c r="F38" s="41" t="s">
        <v>53</v>
      </c>
      <c r="G38" s="42">
        <f t="shared" si="0"/>
        <v>5000000</v>
      </c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>
        <v>5000000</v>
      </c>
      <c r="Y38" s="42"/>
      <c r="Z38" s="42"/>
      <c r="AA38" s="42"/>
      <c r="AB38" s="42"/>
      <c r="AC38" s="42"/>
      <c r="AD38" s="42"/>
      <c r="AE38" s="43">
        <f t="shared" si="32"/>
        <v>1</v>
      </c>
      <c r="AF38" s="42">
        <f t="shared" si="24"/>
        <v>5000000</v>
      </c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>
        <f>+'[4]JULIO 2019'!$Y$2704</f>
        <v>5000000</v>
      </c>
      <c r="AX38" s="42"/>
      <c r="AY38" s="42"/>
      <c r="AZ38" s="42"/>
      <c r="BA38" s="42"/>
      <c r="BB38" s="42"/>
      <c r="BC38" s="42"/>
      <c r="BD38" s="43">
        <f t="shared" si="3"/>
        <v>0</v>
      </c>
      <c r="BE38" s="42">
        <f t="shared" si="4"/>
        <v>0</v>
      </c>
      <c r="BF38" s="42">
        <f t="shared" si="25"/>
        <v>0</v>
      </c>
      <c r="BG38" s="42">
        <f t="shared" si="25"/>
        <v>0</v>
      </c>
      <c r="BH38" s="42">
        <f t="shared" si="25"/>
        <v>0</v>
      </c>
      <c r="BI38" s="42">
        <f t="shared" si="19"/>
        <v>0</v>
      </c>
      <c r="BJ38" s="42">
        <f t="shared" si="34"/>
        <v>0</v>
      </c>
      <c r="BK38" s="42">
        <f t="shared" si="34"/>
        <v>0</v>
      </c>
      <c r="BL38" s="42">
        <f t="shared" si="34"/>
        <v>0</v>
      </c>
      <c r="BM38" s="42">
        <f t="shared" si="34"/>
        <v>0</v>
      </c>
      <c r="BN38" s="42">
        <f t="shared" si="34"/>
        <v>0</v>
      </c>
      <c r="BO38" s="42">
        <f t="shared" si="34"/>
        <v>0</v>
      </c>
      <c r="BP38" s="42">
        <f t="shared" si="34"/>
        <v>0</v>
      </c>
      <c r="BQ38" s="42">
        <f t="shared" si="34"/>
        <v>0</v>
      </c>
      <c r="BR38" s="42">
        <f t="shared" si="34"/>
        <v>0</v>
      </c>
      <c r="BS38" s="42">
        <f t="shared" si="34"/>
        <v>0</v>
      </c>
      <c r="BT38" s="42">
        <f t="shared" si="34"/>
        <v>0</v>
      </c>
      <c r="BU38" s="42">
        <f t="shared" si="34"/>
        <v>0</v>
      </c>
      <c r="BV38" s="42">
        <f t="shared" si="34"/>
        <v>0</v>
      </c>
      <c r="BW38" s="42">
        <f t="shared" si="34"/>
        <v>0</v>
      </c>
      <c r="BX38" s="42">
        <f t="shared" si="34"/>
        <v>0</v>
      </c>
      <c r="BY38" s="42">
        <f t="shared" si="33"/>
        <v>0</v>
      </c>
      <c r="BZ38" s="42">
        <f t="shared" si="27"/>
        <v>0</v>
      </c>
      <c r="CA38" s="42"/>
      <c r="CB38" s="42">
        <f t="shared" si="28"/>
        <v>0</v>
      </c>
      <c r="CC38" s="43">
        <f t="shared" si="8"/>
        <v>1</v>
      </c>
      <c r="CD38" s="42">
        <f t="shared" si="9"/>
        <v>5000000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>
        <f>+'[8]AGOSTO 2019'!$Y$3064</f>
        <v>5000000</v>
      </c>
      <c r="CV38" s="42"/>
      <c r="CW38" s="42"/>
      <c r="CX38" s="42"/>
      <c r="CY38" s="42"/>
      <c r="CZ38" s="42"/>
      <c r="DA38" s="42"/>
      <c r="DB38" s="43">
        <f t="shared" si="10"/>
        <v>0</v>
      </c>
      <c r="DC38" s="42">
        <f t="shared" si="11"/>
        <v>0</v>
      </c>
      <c r="DD38" s="42">
        <f t="shared" si="36"/>
        <v>0</v>
      </c>
      <c r="DE38" s="42">
        <f t="shared" si="36"/>
        <v>0</v>
      </c>
      <c r="DF38" s="42">
        <f t="shared" si="36"/>
        <v>0</v>
      </c>
      <c r="DG38" s="42">
        <f t="shared" si="36"/>
        <v>0</v>
      </c>
      <c r="DH38" s="42">
        <f t="shared" si="36"/>
        <v>0</v>
      </c>
      <c r="DI38" s="42">
        <f t="shared" si="36"/>
        <v>0</v>
      </c>
      <c r="DJ38" s="42">
        <f t="shared" si="35"/>
        <v>0</v>
      </c>
      <c r="DK38" s="42">
        <f t="shared" si="35"/>
        <v>0</v>
      </c>
      <c r="DL38" s="42">
        <f t="shared" si="35"/>
        <v>0</v>
      </c>
      <c r="DM38" s="42">
        <f t="shared" si="35"/>
        <v>0</v>
      </c>
      <c r="DN38" s="42">
        <f t="shared" si="35"/>
        <v>0</v>
      </c>
      <c r="DO38" s="42">
        <f t="shared" si="35"/>
        <v>0</v>
      </c>
      <c r="DP38" s="42">
        <f t="shared" si="35"/>
        <v>0</v>
      </c>
      <c r="DQ38" s="42">
        <f t="shared" si="35"/>
        <v>0</v>
      </c>
      <c r="DR38" s="42">
        <f t="shared" si="35"/>
        <v>0</v>
      </c>
      <c r="DS38" s="42">
        <f t="shared" si="35"/>
        <v>0</v>
      </c>
      <c r="DT38" s="42">
        <f t="shared" si="30"/>
        <v>0</v>
      </c>
      <c r="DU38" s="42">
        <f t="shared" si="30"/>
        <v>0</v>
      </c>
      <c r="DV38" s="42">
        <f t="shared" si="30"/>
        <v>0</v>
      </c>
      <c r="DW38" s="42">
        <f t="shared" si="30"/>
        <v>0</v>
      </c>
      <c r="DX38" s="42">
        <f t="shared" si="30"/>
        <v>0</v>
      </c>
      <c r="DY38" s="42"/>
      <c r="DZ38" s="42">
        <f t="shared" si="31"/>
        <v>0</v>
      </c>
      <c r="EB38" s="47">
        <f t="shared" si="15"/>
        <v>5000000</v>
      </c>
      <c r="EC38" s="47">
        <f t="shared" si="16"/>
        <v>5000000</v>
      </c>
      <c r="ED38" s="47">
        <f t="shared" si="17"/>
        <v>5000000</v>
      </c>
    </row>
    <row r="39" spans="1:136" s="73" customFormat="1" ht="17.25" customHeight="1" thickBot="1" x14ac:dyDescent="0.35">
      <c r="A39" s="67"/>
      <c r="B39" s="68" t="s">
        <v>134</v>
      </c>
      <c r="C39" s="68"/>
      <c r="D39" s="68"/>
      <c r="E39" s="68"/>
      <c r="F39" s="69"/>
      <c r="G39" s="70">
        <f t="shared" ref="G39:AD39" si="37">SUM(G4:G38)</f>
        <v>4377995649</v>
      </c>
      <c r="H39" s="70">
        <f t="shared" si="37"/>
        <v>23655791</v>
      </c>
      <c r="I39" s="70">
        <f t="shared" si="37"/>
        <v>1141800000</v>
      </c>
      <c r="J39" s="70">
        <f t="shared" si="37"/>
        <v>80644090</v>
      </c>
      <c r="K39" s="70">
        <f t="shared" si="37"/>
        <v>300000000</v>
      </c>
      <c r="L39" s="70">
        <f t="shared" si="37"/>
        <v>0</v>
      </c>
      <c r="M39" s="70">
        <f t="shared" si="37"/>
        <v>0</v>
      </c>
      <c r="N39" s="70">
        <f t="shared" si="37"/>
        <v>244096406</v>
      </c>
      <c r="O39" s="70">
        <f t="shared" si="37"/>
        <v>300000000</v>
      </c>
      <c r="P39" s="70">
        <f t="shared" si="37"/>
        <v>65000000</v>
      </c>
      <c r="Q39" s="70">
        <f t="shared" si="37"/>
        <v>15000000</v>
      </c>
      <c r="R39" s="70">
        <f t="shared" si="37"/>
        <v>55000000</v>
      </c>
      <c r="S39" s="70">
        <f t="shared" si="37"/>
        <v>0</v>
      </c>
      <c r="T39" s="70">
        <f t="shared" si="37"/>
        <v>0</v>
      </c>
      <c r="U39" s="70">
        <f t="shared" si="37"/>
        <v>51586236</v>
      </c>
      <c r="V39" s="70">
        <f t="shared" si="37"/>
        <v>0</v>
      </c>
      <c r="W39" s="70">
        <f t="shared" si="37"/>
        <v>30000000</v>
      </c>
      <c r="X39" s="70">
        <f t="shared" si="37"/>
        <v>312000000</v>
      </c>
      <c r="Y39" s="70">
        <f t="shared" si="37"/>
        <v>79000000</v>
      </c>
      <c r="Z39" s="70">
        <f t="shared" si="37"/>
        <v>0</v>
      </c>
      <c r="AA39" s="70">
        <f t="shared" si="37"/>
        <v>0</v>
      </c>
      <c r="AB39" s="70">
        <f t="shared" si="37"/>
        <v>0</v>
      </c>
      <c r="AC39" s="70">
        <f t="shared" si="37"/>
        <v>972811018</v>
      </c>
      <c r="AD39" s="70">
        <f t="shared" si="37"/>
        <v>707402108</v>
      </c>
      <c r="AE39" s="71">
        <f t="shared" si="32"/>
        <v>0.8173076379866453</v>
      </c>
      <c r="AF39" s="72">
        <f>SUM(AF4:AF38)</f>
        <v>3578169283</v>
      </c>
      <c r="AG39" s="72">
        <f>SUM(AG4:AG38)</f>
        <v>0</v>
      </c>
      <c r="AH39" s="72">
        <f>SUM(AH4:AH38)</f>
        <v>1095891013</v>
      </c>
      <c r="AI39" s="72">
        <f>SUM(AI4:AI38)</f>
        <v>76644090</v>
      </c>
      <c r="AJ39" s="72"/>
      <c r="AK39" s="72">
        <f t="shared" ref="AK39:BC39" si="38">SUM(AK4:AK38)</f>
        <v>0</v>
      </c>
      <c r="AL39" s="72">
        <f t="shared" si="38"/>
        <v>0</v>
      </c>
      <c r="AM39" s="72">
        <f t="shared" si="38"/>
        <v>244096406</v>
      </c>
      <c r="AN39" s="72">
        <f t="shared" si="38"/>
        <v>300000000</v>
      </c>
      <c r="AO39" s="72">
        <f t="shared" si="38"/>
        <v>50000000</v>
      </c>
      <c r="AP39" s="72">
        <f t="shared" si="38"/>
        <v>14999964</v>
      </c>
      <c r="AQ39" s="72">
        <f t="shared" si="38"/>
        <v>40000000</v>
      </c>
      <c r="AR39" s="72">
        <f t="shared" si="38"/>
        <v>0</v>
      </c>
      <c r="AS39" s="72">
        <f t="shared" si="38"/>
        <v>0</v>
      </c>
      <c r="AT39" s="72">
        <f t="shared" si="38"/>
        <v>0</v>
      </c>
      <c r="AU39" s="72">
        <f t="shared" si="38"/>
        <v>0</v>
      </c>
      <c r="AV39" s="72">
        <f t="shared" si="38"/>
        <v>30000000</v>
      </c>
      <c r="AW39" s="72">
        <f t="shared" si="38"/>
        <v>255244655</v>
      </c>
      <c r="AX39" s="72">
        <f t="shared" si="38"/>
        <v>45000000</v>
      </c>
      <c r="AY39" s="72">
        <f t="shared" si="38"/>
        <v>0</v>
      </c>
      <c r="AZ39" s="72">
        <f t="shared" si="38"/>
        <v>0</v>
      </c>
      <c r="BA39" s="72">
        <f t="shared" si="38"/>
        <v>0</v>
      </c>
      <c r="BB39" s="72">
        <f t="shared" si="38"/>
        <v>581330000</v>
      </c>
      <c r="BC39" s="72">
        <f t="shared" si="38"/>
        <v>544963155</v>
      </c>
      <c r="BD39" s="71">
        <f t="shared" si="3"/>
        <v>0.1826923620133547</v>
      </c>
      <c r="BE39" s="72">
        <f t="shared" ref="BE39:CB39" si="39">SUM(BE4:BE38)</f>
        <v>799826366</v>
      </c>
      <c r="BF39" s="72">
        <f t="shared" si="39"/>
        <v>23655791</v>
      </c>
      <c r="BG39" s="72">
        <f t="shared" si="39"/>
        <v>45908987</v>
      </c>
      <c r="BH39" s="72">
        <f t="shared" si="39"/>
        <v>4000000</v>
      </c>
      <c r="BI39" s="72">
        <f t="shared" si="39"/>
        <v>0</v>
      </c>
      <c r="BJ39" s="72">
        <f t="shared" si="39"/>
        <v>0</v>
      </c>
      <c r="BK39" s="72">
        <f t="shared" si="39"/>
        <v>0</v>
      </c>
      <c r="BL39" s="72">
        <f t="shared" si="39"/>
        <v>0</v>
      </c>
      <c r="BM39" s="72">
        <f t="shared" si="39"/>
        <v>0</v>
      </c>
      <c r="BN39" s="72">
        <f t="shared" si="39"/>
        <v>15000000</v>
      </c>
      <c r="BO39" s="72">
        <f t="shared" si="39"/>
        <v>36</v>
      </c>
      <c r="BP39" s="72">
        <f t="shared" si="39"/>
        <v>15000000</v>
      </c>
      <c r="BQ39" s="72">
        <f t="shared" si="39"/>
        <v>0</v>
      </c>
      <c r="BR39" s="72">
        <f t="shared" si="39"/>
        <v>0</v>
      </c>
      <c r="BS39" s="72">
        <f t="shared" si="39"/>
        <v>51586236</v>
      </c>
      <c r="BT39" s="72">
        <f t="shared" si="39"/>
        <v>0</v>
      </c>
      <c r="BU39" s="72">
        <f t="shared" si="39"/>
        <v>0</v>
      </c>
      <c r="BV39" s="72">
        <f t="shared" si="39"/>
        <v>56755345</v>
      </c>
      <c r="BW39" s="72">
        <f t="shared" si="39"/>
        <v>34000000</v>
      </c>
      <c r="BX39" s="72">
        <f t="shared" si="39"/>
        <v>0</v>
      </c>
      <c r="BY39" s="72">
        <f t="shared" si="39"/>
        <v>0</v>
      </c>
      <c r="BZ39" s="72">
        <f t="shared" si="39"/>
        <v>0</v>
      </c>
      <c r="CA39" s="72">
        <f t="shared" si="39"/>
        <v>391481018</v>
      </c>
      <c r="CB39" s="72">
        <f t="shared" si="39"/>
        <v>162438953</v>
      </c>
      <c r="CC39" s="71">
        <f t="shared" si="8"/>
        <v>0.66431679110149799</v>
      </c>
      <c r="CD39" s="72">
        <f>SUM(CD4:CD38)</f>
        <v>2908376021</v>
      </c>
      <c r="CE39" s="72">
        <f>SUM(CE4:CE38)</f>
        <v>0</v>
      </c>
      <c r="CF39" s="72">
        <f>SUM(CF4:CF38)</f>
        <v>960569893</v>
      </c>
      <c r="CG39" s="72">
        <f>SUM(CG4:CG38)</f>
        <v>34615897</v>
      </c>
      <c r="CH39" s="72"/>
      <c r="CI39" s="72">
        <f t="shared" ref="CI39:DA39" si="40">SUM(CI4:CI38)</f>
        <v>0</v>
      </c>
      <c r="CJ39" s="72">
        <f t="shared" si="40"/>
        <v>0</v>
      </c>
      <c r="CK39" s="72">
        <f t="shared" si="40"/>
        <v>236438964</v>
      </c>
      <c r="CL39" s="72">
        <f t="shared" si="40"/>
        <v>300000000</v>
      </c>
      <c r="CM39" s="72">
        <f t="shared" si="40"/>
        <v>0</v>
      </c>
      <c r="CN39" s="72">
        <f t="shared" si="40"/>
        <v>14999964</v>
      </c>
      <c r="CO39" s="72">
        <f t="shared" si="40"/>
        <v>0</v>
      </c>
      <c r="CP39" s="72">
        <f t="shared" si="40"/>
        <v>0</v>
      </c>
      <c r="CQ39" s="72">
        <f t="shared" si="40"/>
        <v>0</v>
      </c>
      <c r="CR39" s="72">
        <f t="shared" si="40"/>
        <v>0</v>
      </c>
      <c r="CS39" s="72">
        <f t="shared" si="40"/>
        <v>0</v>
      </c>
      <c r="CT39" s="72">
        <f t="shared" si="40"/>
        <v>27384000</v>
      </c>
      <c r="CU39" s="72">
        <f t="shared" si="40"/>
        <v>222400747</v>
      </c>
      <c r="CV39" s="72">
        <f t="shared" si="40"/>
        <v>19103891</v>
      </c>
      <c r="CW39" s="72">
        <f t="shared" si="40"/>
        <v>0</v>
      </c>
      <c r="CX39" s="72">
        <f t="shared" si="40"/>
        <v>0</v>
      </c>
      <c r="CY39" s="72">
        <f t="shared" si="40"/>
        <v>0</v>
      </c>
      <c r="CZ39" s="72">
        <f t="shared" si="40"/>
        <v>467044183</v>
      </c>
      <c r="DA39" s="72">
        <f t="shared" si="40"/>
        <v>493808939</v>
      </c>
      <c r="DB39" s="71">
        <f t="shared" si="10"/>
        <v>0.33568320889850201</v>
      </c>
      <c r="DC39" s="72">
        <f t="shared" ref="DC39:DZ39" si="41">SUM(DC4:DC38)</f>
        <v>1469619628</v>
      </c>
      <c r="DD39" s="72">
        <f t="shared" si="41"/>
        <v>23655791</v>
      </c>
      <c r="DE39" s="72">
        <f t="shared" si="41"/>
        <v>181230107</v>
      </c>
      <c r="DF39" s="72">
        <f t="shared" si="41"/>
        <v>46028193</v>
      </c>
      <c r="DG39" s="72">
        <f t="shared" si="41"/>
        <v>167990457</v>
      </c>
      <c r="DH39" s="72">
        <f t="shared" si="41"/>
        <v>0</v>
      </c>
      <c r="DI39" s="72">
        <f t="shared" si="41"/>
        <v>0</v>
      </c>
      <c r="DJ39" s="72">
        <f t="shared" si="41"/>
        <v>7657442</v>
      </c>
      <c r="DK39" s="72">
        <f t="shared" si="41"/>
        <v>0</v>
      </c>
      <c r="DL39" s="72">
        <f t="shared" si="41"/>
        <v>65000000</v>
      </c>
      <c r="DM39" s="72">
        <f t="shared" si="41"/>
        <v>36</v>
      </c>
      <c r="DN39" s="72">
        <f t="shared" si="41"/>
        <v>55000000</v>
      </c>
      <c r="DO39" s="72">
        <f t="shared" si="41"/>
        <v>0</v>
      </c>
      <c r="DP39" s="72">
        <f t="shared" si="41"/>
        <v>0</v>
      </c>
      <c r="DQ39" s="72">
        <f t="shared" si="41"/>
        <v>51586236</v>
      </c>
      <c r="DR39" s="72">
        <f t="shared" si="41"/>
        <v>0</v>
      </c>
      <c r="DS39" s="72">
        <f t="shared" si="41"/>
        <v>2616000</v>
      </c>
      <c r="DT39" s="72">
        <f t="shared" si="41"/>
        <v>89599253</v>
      </c>
      <c r="DU39" s="72">
        <f t="shared" si="41"/>
        <v>59896109</v>
      </c>
      <c r="DV39" s="72">
        <f t="shared" si="41"/>
        <v>0</v>
      </c>
      <c r="DW39" s="72">
        <f t="shared" si="41"/>
        <v>0</v>
      </c>
      <c r="DX39" s="72">
        <f t="shared" si="41"/>
        <v>0</v>
      </c>
      <c r="DY39" s="72">
        <f t="shared" si="41"/>
        <v>505766835</v>
      </c>
      <c r="DZ39" s="72">
        <f t="shared" si="41"/>
        <v>213593169</v>
      </c>
      <c r="EB39" s="47">
        <f t="shared" si="15"/>
        <v>4377995649</v>
      </c>
      <c r="EC39" s="47">
        <f t="shared" si="16"/>
        <v>4377995649</v>
      </c>
      <c r="ED39" s="47">
        <f t="shared" si="17"/>
        <v>4377995649</v>
      </c>
      <c r="EF39" s="74"/>
    </row>
    <row r="40" spans="1:136" ht="29.4" customHeight="1" thickTop="1" x14ac:dyDescent="0.3">
      <c r="A40" s="36" t="s">
        <v>135</v>
      </c>
      <c r="B40" s="75" t="s">
        <v>136</v>
      </c>
      <c r="C40" s="38" t="s">
        <v>137</v>
      </c>
      <c r="D40" s="39" t="s">
        <v>138</v>
      </c>
      <c r="E40" s="40">
        <v>410</v>
      </c>
      <c r="F40" s="41" t="s">
        <v>139</v>
      </c>
      <c r="G40" s="42">
        <f t="shared" ref="G40:G79" si="42">SUM(H40:AD40)</f>
        <v>337708416</v>
      </c>
      <c r="H40" s="42"/>
      <c r="I40" s="42"/>
      <c r="J40" s="42"/>
      <c r="K40" s="42"/>
      <c r="L40" s="42"/>
      <c r="M40" s="42"/>
      <c r="N40" s="42"/>
      <c r="O40" s="42">
        <f>105848404+22086033+209773979</f>
        <v>337708416</v>
      </c>
      <c r="P40" s="58"/>
      <c r="Q40" s="58"/>
      <c r="R40" s="58"/>
      <c r="S40" s="58"/>
      <c r="T40" s="58"/>
      <c r="U40" s="58"/>
      <c r="V40" s="58"/>
      <c r="W40" s="58"/>
      <c r="X40" s="42"/>
      <c r="Y40" s="58"/>
      <c r="Z40" s="58"/>
      <c r="AA40" s="58"/>
      <c r="AB40" s="58"/>
      <c r="AC40" s="58"/>
      <c r="AD40" s="58"/>
      <c r="AE40" s="76">
        <f t="shared" si="32"/>
        <v>0.98092139048142646</v>
      </c>
      <c r="AF40" s="42">
        <f t="shared" ref="AF40:AF79" si="43">SUM(AG40:BC40)</f>
        <v>331265409</v>
      </c>
      <c r="AG40" s="42"/>
      <c r="AH40" s="42"/>
      <c r="AI40" s="42"/>
      <c r="AJ40" s="42"/>
      <c r="AK40" s="42"/>
      <c r="AL40" s="42"/>
      <c r="AM40" s="42"/>
      <c r="AN40" s="42">
        <f>+'[3]NOVIEMBRE 2019'!$Q$1813</f>
        <v>331265409</v>
      </c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76">
        <f t="shared" si="3"/>
        <v>1.9078609518573542E-2</v>
      </c>
      <c r="BE40" s="42">
        <f t="shared" ref="BE40:BE79" si="44">SUM(BF40:CB40)</f>
        <v>6443007</v>
      </c>
      <c r="BF40" s="42">
        <f t="shared" ref="BF40:BH79" si="45">H40-AG40</f>
        <v>0</v>
      </c>
      <c r="BG40" s="42">
        <f t="shared" si="45"/>
        <v>0</v>
      </c>
      <c r="BH40" s="42">
        <f t="shared" si="45"/>
        <v>0</v>
      </c>
      <c r="BI40" s="42">
        <f t="shared" ref="BI40:BI79" si="46">+K40-AJ40</f>
        <v>0</v>
      </c>
      <c r="BJ40" s="42">
        <f t="shared" ref="BJ40:BY55" si="47">L40-AK40</f>
        <v>0</v>
      </c>
      <c r="BK40" s="42">
        <f t="shared" si="47"/>
        <v>0</v>
      </c>
      <c r="BL40" s="42">
        <f t="shared" si="47"/>
        <v>0</v>
      </c>
      <c r="BM40" s="42">
        <f t="shared" si="47"/>
        <v>6443007</v>
      </c>
      <c r="BN40" s="42">
        <f t="shared" si="47"/>
        <v>0</v>
      </c>
      <c r="BO40" s="42">
        <f t="shared" si="47"/>
        <v>0</v>
      </c>
      <c r="BP40" s="42">
        <f t="shared" si="47"/>
        <v>0</v>
      </c>
      <c r="BQ40" s="42">
        <f t="shared" si="47"/>
        <v>0</v>
      </c>
      <c r="BR40" s="42">
        <f t="shared" si="47"/>
        <v>0</v>
      </c>
      <c r="BS40" s="42">
        <f t="shared" si="47"/>
        <v>0</v>
      </c>
      <c r="BT40" s="42">
        <f t="shared" si="47"/>
        <v>0</v>
      </c>
      <c r="BU40" s="42">
        <f t="shared" si="47"/>
        <v>0</v>
      </c>
      <c r="BV40" s="42">
        <f t="shared" si="47"/>
        <v>0</v>
      </c>
      <c r="BW40" s="42">
        <f t="shared" si="47"/>
        <v>0</v>
      </c>
      <c r="BX40" s="42">
        <f t="shared" si="47"/>
        <v>0</v>
      </c>
      <c r="BY40" s="42">
        <f t="shared" si="47"/>
        <v>0</v>
      </c>
      <c r="BZ40" s="42">
        <f t="shared" ref="BZ40:BZ79" si="48">AB40-BA40</f>
        <v>0</v>
      </c>
      <c r="CA40" s="42"/>
      <c r="CB40" s="42">
        <f t="shared" ref="CB40:CB79" si="49">AD40-BC40</f>
        <v>0</v>
      </c>
      <c r="CC40" s="76">
        <f t="shared" si="8"/>
        <v>0.16831814460910563</v>
      </c>
      <c r="CD40" s="77">
        <f t="shared" ref="CD40:CD79" si="50">SUM(CE40:DA40)</f>
        <v>56842454</v>
      </c>
      <c r="CE40" s="77"/>
      <c r="CF40" s="77"/>
      <c r="CG40" s="77"/>
      <c r="CH40" s="77"/>
      <c r="CI40" s="77"/>
      <c r="CJ40" s="77"/>
      <c r="CK40" s="77"/>
      <c r="CL40" s="77">
        <f>+'[3]NOVIEMBRE 2019'!$H$1811</f>
        <v>56842454</v>
      </c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6">
        <f t="shared" si="10"/>
        <v>0.83168185539089434</v>
      </c>
      <c r="DC40" s="42">
        <f t="shared" ref="DC40:DC79" si="51">SUM(DD40:DZ40)</f>
        <v>280865962</v>
      </c>
      <c r="DD40" s="42">
        <f t="shared" ref="DD40:DS55" si="52">H40-CE40</f>
        <v>0</v>
      </c>
      <c r="DE40" s="42">
        <f t="shared" si="52"/>
        <v>0</v>
      </c>
      <c r="DF40" s="42">
        <f t="shared" si="52"/>
        <v>0</v>
      </c>
      <c r="DG40" s="42">
        <f t="shared" si="52"/>
        <v>0</v>
      </c>
      <c r="DH40" s="42">
        <f t="shared" si="52"/>
        <v>0</v>
      </c>
      <c r="DI40" s="42">
        <f t="shared" si="52"/>
        <v>0</v>
      </c>
      <c r="DJ40" s="42">
        <f t="shared" si="52"/>
        <v>0</v>
      </c>
      <c r="DK40" s="42">
        <f t="shared" si="52"/>
        <v>280865962</v>
      </c>
      <c r="DL40" s="42">
        <f t="shared" si="52"/>
        <v>0</v>
      </c>
      <c r="DM40" s="42">
        <f t="shared" si="52"/>
        <v>0</v>
      </c>
      <c r="DN40" s="42">
        <f t="shared" si="52"/>
        <v>0</v>
      </c>
      <c r="DO40" s="42">
        <f t="shared" si="52"/>
        <v>0</v>
      </c>
      <c r="DP40" s="42">
        <f t="shared" si="52"/>
        <v>0</v>
      </c>
      <c r="DQ40" s="42">
        <f t="shared" si="52"/>
        <v>0</v>
      </c>
      <c r="DR40" s="42">
        <f t="shared" si="52"/>
        <v>0</v>
      </c>
      <c r="DS40" s="42">
        <f t="shared" si="52"/>
        <v>0</v>
      </c>
      <c r="DT40" s="42">
        <f t="shared" ref="DT40:DX79" si="53">X40-CU40</f>
        <v>0</v>
      </c>
      <c r="DU40" s="42">
        <f t="shared" si="53"/>
        <v>0</v>
      </c>
      <c r="DV40" s="42">
        <f t="shared" si="53"/>
        <v>0</v>
      </c>
      <c r="DW40" s="42">
        <f t="shared" si="53"/>
        <v>0</v>
      </c>
      <c r="DX40" s="42">
        <f t="shared" si="53"/>
        <v>0</v>
      </c>
      <c r="DY40" s="42"/>
      <c r="DZ40" s="42">
        <f t="shared" ref="DZ40:DZ79" si="54">AD40-DA40</f>
        <v>0</v>
      </c>
      <c r="EB40" s="47">
        <f t="shared" si="15"/>
        <v>337708416</v>
      </c>
      <c r="EC40" s="47">
        <f t="shared" si="16"/>
        <v>337708416</v>
      </c>
      <c r="ED40" s="47">
        <f t="shared" si="17"/>
        <v>337708416</v>
      </c>
    </row>
    <row r="41" spans="1:136" ht="45" customHeight="1" x14ac:dyDescent="0.3">
      <c r="A41" s="48"/>
      <c r="B41" s="75"/>
      <c r="C41" s="38" t="s">
        <v>140</v>
      </c>
      <c r="D41" s="39" t="s">
        <v>141</v>
      </c>
      <c r="E41" s="40">
        <v>410</v>
      </c>
      <c r="F41" s="41" t="s">
        <v>139</v>
      </c>
      <c r="G41" s="42">
        <f t="shared" si="42"/>
        <v>467922436</v>
      </c>
      <c r="H41" s="42"/>
      <c r="I41" s="42"/>
      <c r="J41" s="42"/>
      <c r="K41" s="42"/>
      <c r="L41" s="42"/>
      <c r="M41" s="42"/>
      <c r="N41" s="42"/>
      <c r="O41" s="42">
        <f>200000000+156000000+21723740</f>
        <v>377723740</v>
      </c>
      <c r="P41" s="42"/>
      <c r="Q41" s="42"/>
      <c r="R41" s="42"/>
      <c r="S41" s="42">
        <v>25617559</v>
      </c>
      <c r="T41" s="42"/>
      <c r="U41" s="42"/>
      <c r="V41" s="42"/>
      <c r="W41" s="42"/>
      <c r="X41" s="42"/>
      <c r="Y41" s="42"/>
      <c r="Z41" s="42">
        <f>49229363+15351774</f>
        <v>64581137</v>
      </c>
      <c r="AA41" s="42"/>
      <c r="AB41" s="42"/>
      <c r="AC41" s="42"/>
      <c r="AD41" s="42"/>
      <c r="AE41" s="43">
        <f t="shared" si="32"/>
        <v>0.99242099816731166</v>
      </c>
      <c r="AF41" s="42">
        <f t="shared" si="43"/>
        <v>464376051</v>
      </c>
      <c r="AG41" s="42"/>
      <c r="AH41" s="42"/>
      <c r="AI41" s="42"/>
      <c r="AJ41" s="42"/>
      <c r="AK41" s="42"/>
      <c r="AL41" s="42"/>
      <c r="AM41" s="42"/>
      <c r="AN41" s="42">
        <f>+'[2]SEPTIEMBRE 2019'!$Q$1482</f>
        <v>376835867</v>
      </c>
      <c r="AO41" s="42"/>
      <c r="AP41" s="42"/>
      <c r="AQ41" s="42"/>
      <c r="AR41" s="42">
        <f>+'[3]NOVIEMBRE 2019'!$U$1832</f>
        <v>23206700</v>
      </c>
      <c r="AS41" s="42"/>
      <c r="AT41" s="42"/>
      <c r="AU41" s="42"/>
      <c r="AV41" s="42"/>
      <c r="AW41" s="42"/>
      <c r="AX41" s="42"/>
      <c r="AY41" s="42">
        <f>+'[3]NOVIEMBRE 2019'!$AB$1832</f>
        <v>64333484</v>
      </c>
      <c r="AZ41" s="42"/>
      <c r="BA41" s="42"/>
      <c r="BB41" s="42"/>
      <c r="BC41" s="42"/>
      <c r="BD41" s="43">
        <f t="shared" si="3"/>
        <v>7.5790018326883368E-3</v>
      </c>
      <c r="BE41" s="42">
        <f t="shared" si="44"/>
        <v>3546385</v>
      </c>
      <c r="BF41" s="42">
        <f t="shared" si="45"/>
        <v>0</v>
      </c>
      <c r="BG41" s="42">
        <f t="shared" si="45"/>
        <v>0</v>
      </c>
      <c r="BH41" s="42">
        <f t="shared" si="45"/>
        <v>0</v>
      </c>
      <c r="BI41" s="42">
        <f t="shared" si="46"/>
        <v>0</v>
      </c>
      <c r="BJ41" s="42">
        <f t="shared" si="47"/>
        <v>0</v>
      </c>
      <c r="BK41" s="42">
        <f t="shared" si="47"/>
        <v>0</v>
      </c>
      <c r="BL41" s="42">
        <f t="shared" si="47"/>
        <v>0</v>
      </c>
      <c r="BM41" s="42">
        <f t="shared" si="47"/>
        <v>887873</v>
      </c>
      <c r="BN41" s="42">
        <f t="shared" si="47"/>
        <v>0</v>
      </c>
      <c r="BO41" s="42">
        <f t="shared" si="47"/>
        <v>0</v>
      </c>
      <c r="BP41" s="42">
        <f t="shared" si="47"/>
        <v>0</v>
      </c>
      <c r="BQ41" s="42">
        <f t="shared" si="47"/>
        <v>2410859</v>
      </c>
      <c r="BR41" s="42">
        <f t="shared" si="47"/>
        <v>0</v>
      </c>
      <c r="BS41" s="42">
        <f t="shared" si="47"/>
        <v>0</v>
      </c>
      <c r="BT41" s="42">
        <f t="shared" si="47"/>
        <v>0</v>
      </c>
      <c r="BU41" s="42">
        <f t="shared" si="47"/>
        <v>0</v>
      </c>
      <c r="BV41" s="42">
        <f t="shared" si="47"/>
        <v>0</v>
      </c>
      <c r="BW41" s="42">
        <f t="shared" si="47"/>
        <v>0</v>
      </c>
      <c r="BX41" s="42">
        <f t="shared" si="47"/>
        <v>247653</v>
      </c>
      <c r="BY41" s="42">
        <f t="shared" si="47"/>
        <v>0</v>
      </c>
      <c r="BZ41" s="42">
        <f t="shared" si="48"/>
        <v>0</v>
      </c>
      <c r="CA41" s="42"/>
      <c r="CB41" s="42">
        <f t="shared" si="49"/>
        <v>0</v>
      </c>
      <c r="CC41" s="43">
        <f t="shared" si="8"/>
        <v>0.74888385988826578</v>
      </c>
      <c r="CD41" s="42">
        <f t="shared" si="50"/>
        <v>350419560</v>
      </c>
      <c r="CE41" s="42"/>
      <c r="CF41" s="42"/>
      <c r="CG41" s="42"/>
      <c r="CH41" s="42"/>
      <c r="CI41" s="42"/>
      <c r="CJ41" s="42"/>
      <c r="CK41" s="42"/>
      <c r="CL41" s="42">
        <f>+'[3]NOVIEMBRE 2019'!$H$1833+'[3]NOVIEMBRE 2019'!$H$1835+'[3]NOVIEMBRE 2019'!$H$1839+'[3]NOVIEMBRE 2019'!$H$1841+'[3]NOVIEMBRE 2019'!$H$1843+'[3]NOVIEMBRE 2019'!$H$1846+'[3]NOVIEMBRE 2019'!$H$1850+'[3]NOVIEMBRE 2019'!$H$1853+'[3]NOVIEMBRE 2019'!$H$1863+'[3]NOVIEMBRE 2019'!$H$1866+'[3]NOVIEMBRE 2019'!$H$1872+'[3]NOVIEMBRE 2019'!$H$1875</f>
        <v>301437850</v>
      </c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>
        <f>+'[3]NOVIEMBRE 2019'!$H$1878</f>
        <v>48981710</v>
      </c>
      <c r="CX41" s="42"/>
      <c r="CY41" s="42"/>
      <c r="CZ41" s="42"/>
      <c r="DA41" s="42"/>
      <c r="DB41" s="43">
        <f t="shared" si="10"/>
        <v>0.25111614011173422</v>
      </c>
      <c r="DC41" s="42">
        <f t="shared" si="51"/>
        <v>117502876</v>
      </c>
      <c r="DD41" s="42">
        <f t="shared" si="52"/>
        <v>0</v>
      </c>
      <c r="DE41" s="42">
        <f t="shared" si="52"/>
        <v>0</v>
      </c>
      <c r="DF41" s="42">
        <f t="shared" si="52"/>
        <v>0</v>
      </c>
      <c r="DG41" s="42">
        <f t="shared" si="52"/>
        <v>0</v>
      </c>
      <c r="DH41" s="42">
        <f t="shared" si="52"/>
        <v>0</v>
      </c>
      <c r="DI41" s="42">
        <f t="shared" si="52"/>
        <v>0</v>
      </c>
      <c r="DJ41" s="42">
        <f t="shared" si="52"/>
        <v>0</v>
      </c>
      <c r="DK41" s="42">
        <f t="shared" si="52"/>
        <v>76285890</v>
      </c>
      <c r="DL41" s="42">
        <f t="shared" si="52"/>
        <v>0</v>
      </c>
      <c r="DM41" s="42">
        <f t="shared" si="52"/>
        <v>0</v>
      </c>
      <c r="DN41" s="42">
        <f t="shared" si="52"/>
        <v>0</v>
      </c>
      <c r="DO41" s="42">
        <f t="shared" si="52"/>
        <v>25617559</v>
      </c>
      <c r="DP41" s="42">
        <f t="shared" si="52"/>
        <v>0</v>
      </c>
      <c r="DQ41" s="42">
        <f t="shared" si="52"/>
        <v>0</v>
      </c>
      <c r="DR41" s="42">
        <f t="shared" si="52"/>
        <v>0</v>
      </c>
      <c r="DS41" s="42">
        <f t="shared" si="52"/>
        <v>0</v>
      </c>
      <c r="DT41" s="42">
        <f t="shared" si="53"/>
        <v>0</v>
      </c>
      <c r="DU41" s="42">
        <f t="shared" si="53"/>
        <v>0</v>
      </c>
      <c r="DV41" s="42">
        <f t="shared" si="53"/>
        <v>15599427</v>
      </c>
      <c r="DW41" s="42">
        <f t="shared" si="53"/>
        <v>0</v>
      </c>
      <c r="DX41" s="42">
        <f t="shared" si="53"/>
        <v>0</v>
      </c>
      <c r="DY41" s="42"/>
      <c r="DZ41" s="42">
        <f t="shared" si="54"/>
        <v>0</v>
      </c>
      <c r="EB41" s="47">
        <f t="shared" si="15"/>
        <v>467922436</v>
      </c>
      <c r="EC41" s="47">
        <f t="shared" si="16"/>
        <v>467922436</v>
      </c>
      <c r="ED41" s="47">
        <f t="shared" si="17"/>
        <v>467922436</v>
      </c>
    </row>
    <row r="42" spans="1:136" ht="26.4" customHeight="1" x14ac:dyDescent="0.3">
      <c r="A42" s="48"/>
      <c r="B42" s="75"/>
      <c r="C42" s="78" t="s">
        <v>142</v>
      </c>
      <c r="D42" s="50" t="s">
        <v>143</v>
      </c>
      <c r="E42" s="79">
        <v>410</v>
      </c>
      <c r="F42" s="60" t="s">
        <v>144</v>
      </c>
      <c r="G42" s="42">
        <f t="shared" si="42"/>
        <v>655388854</v>
      </c>
      <c r="H42" s="42"/>
      <c r="I42" s="42"/>
      <c r="J42" s="42"/>
      <c r="K42" s="42"/>
      <c r="L42" s="42"/>
      <c r="M42" s="42"/>
      <c r="N42" s="42"/>
      <c r="O42" s="42">
        <f>250000000+410489538+200000000-22086033-209773979</f>
        <v>628629526</v>
      </c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>
        <f>36759328-10000000</f>
        <v>26759328</v>
      </c>
      <c r="AE42" s="43">
        <f t="shared" si="32"/>
        <v>0.98358329114947074</v>
      </c>
      <c r="AF42" s="42">
        <f t="shared" si="43"/>
        <v>644629526</v>
      </c>
      <c r="AG42" s="42"/>
      <c r="AH42" s="42"/>
      <c r="AI42" s="42"/>
      <c r="AJ42" s="42"/>
      <c r="AK42" s="42"/>
      <c r="AL42" s="42"/>
      <c r="AM42" s="42"/>
      <c r="AN42" s="42">
        <f>+'[1]OCTUBRE 2019'!$Q$1697</f>
        <v>628629526</v>
      </c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>
        <f>+'[2]SEPTIEMBRE 2019'!$AG$1524</f>
        <v>16000000</v>
      </c>
      <c r="BD42" s="43">
        <f t="shared" si="3"/>
        <v>1.641670885052926E-2</v>
      </c>
      <c r="BE42" s="42">
        <f t="shared" si="44"/>
        <v>10759328</v>
      </c>
      <c r="BF42" s="42">
        <f t="shared" si="45"/>
        <v>0</v>
      </c>
      <c r="BG42" s="42">
        <f t="shared" si="45"/>
        <v>0</v>
      </c>
      <c r="BH42" s="42">
        <f t="shared" si="45"/>
        <v>0</v>
      </c>
      <c r="BI42" s="42">
        <f t="shared" si="46"/>
        <v>0</v>
      </c>
      <c r="BJ42" s="42">
        <f t="shared" si="47"/>
        <v>0</v>
      </c>
      <c r="BK42" s="42">
        <f t="shared" si="47"/>
        <v>0</v>
      </c>
      <c r="BL42" s="42">
        <f t="shared" si="47"/>
        <v>0</v>
      </c>
      <c r="BM42" s="42">
        <f t="shared" si="47"/>
        <v>0</v>
      </c>
      <c r="BN42" s="42">
        <f t="shared" si="47"/>
        <v>0</v>
      </c>
      <c r="BO42" s="42">
        <f t="shared" si="47"/>
        <v>0</v>
      </c>
      <c r="BP42" s="42">
        <f t="shared" si="47"/>
        <v>0</v>
      </c>
      <c r="BQ42" s="42">
        <f t="shared" si="47"/>
        <v>0</v>
      </c>
      <c r="BR42" s="42">
        <f t="shared" si="47"/>
        <v>0</v>
      </c>
      <c r="BS42" s="42">
        <f t="shared" si="47"/>
        <v>0</v>
      </c>
      <c r="BT42" s="42">
        <f t="shared" si="47"/>
        <v>0</v>
      </c>
      <c r="BU42" s="42">
        <f t="shared" si="47"/>
        <v>0</v>
      </c>
      <c r="BV42" s="42">
        <f t="shared" si="47"/>
        <v>0</v>
      </c>
      <c r="BW42" s="42">
        <f t="shared" si="47"/>
        <v>0</v>
      </c>
      <c r="BX42" s="42">
        <f t="shared" si="47"/>
        <v>0</v>
      </c>
      <c r="BY42" s="42">
        <f t="shared" si="47"/>
        <v>0</v>
      </c>
      <c r="BZ42" s="42">
        <f t="shared" si="48"/>
        <v>0</v>
      </c>
      <c r="CA42" s="42"/>
      <c r="CB42" s="42">
        <f t="shared" si="49"/>
        <v>10759328</v>
      </c>
      <c r="CC42" s="43">
        <f t="shared" si="8"/>
        <v>0.9017555904299831</v>
      </c>
      <c r="CD42" s="42">
        <f t="shared" si="50"/>
        <v>591000563</v>
      </c>
      <c r="CE42" s="42"/>
      <c r="CF42" s="42"/>
      <c r="CG42" s="42"/>
      <c r="CH42" s="42"/>
      <c r="CI42" s="42"/>
      <c r="CJ42" s="42"/>
      <c r="CK42" s="42"/>
      <c r="CL42" s="42">
        <f>+'[3]NOVIEMBRE 2019'!$H$1891+'[3]NOVIEMBRE 2019'!$H$1934+'[3]NOVIEMBRE 2019'!$H$1941</f>
        <v>582041451</v>
      </c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>
        <f>+'[3]NOVIEMBRE 2019'!$H$1937+'[3]NOVIEMBRE 2019'!$H$1939</f>
        <v>8959112</v>
      </c>
      <c r="DB42" s="43">
        <f t="shared" si="10"/>
        <v>9.82444095700169E-2</v>
      </c>
      <c r="DC42" s="42">
        <f t="shared" si="51"/>
        <v>64388291</v>
      </c>
      <c r="DD42" s="42">
        <f t="shared" si="52"/>
        <v>0</v>
      </c>
      <c r="DE42" s="42">
        <f t="shared" si="52"/>
        <v>0</v>
      </c>
      <c r="DF42" s="42">
        <f t="shared" si="52"/>
        <v>0</v>
      </c>
      <c r="DG42" s="42">
        <f t="shared" si="52"/>
        <v>0</v>
      </c>
      <c r="DH42" s="42">
        <f t="shared" si="52"/>
        <v>0</v>
      </c>
      <c r="DI42" s="42">
        <f t="shared" si="52"/>
        <v>0</v>
      </c>
      <c r="DJ42" s="42">
        <f t="shared" si="52"/>
        <v>0</v>
      </c>
      <c r="DK42" s="42">
        <f t="shared" si="52"/>
        <v>46588075</v>
      </c>
      <c r="DL42" s="42">
        <f t="shared" si="52"/>
        <v>0</v>
      </c>
      <c r="DM42" s="42">
        <f t="shared" si="52"/>
        <v>0</v>
      </c>
      <c r="DN42" s="42">
        <f t="shared" si="52"/>
        <v>0</v>
      </c>
      <c r="DO42" s="42">
        <f t="shared" si="52"/>
        <v>0</v>
      </c>
      <c r="DP42" s="42">
        <f t="shared" si="52"/>
        <v>0</v>
      </c>
      <c r="DQ42" s="42">
        <f t="shared" si="52"/>
        <v>0</v>
      </c>
      <c r="DR42" s="42">
        <f t="shared" si="52"/>
        <v>0</v>
      </c>
      <c r="DS42" s="42">
        <f t="shared" si="52"/>
        <v>0</v>
      </c>
      <c r="DT42" s="42">
        <f t="shared" si="53"/>
        <v>0</v>
      </c>
      <c r="DU42" s="42">
        <f t="shared" si="53"/>
        <v>0</v>
      </c>
      <c r="DV42" s="42">
        <f t="shared" si="53"/>
        <v>0</v>
      </c>
      <c r="DW42" s="42">
        <f t="shared" si="53"/>
        <v>0</v>
      </c>
      <c r="DX42" s="42">
        <f t="shared" si="53"/>
        <v>0</v>
      </c>
      <c r="DY42" s="42"/>
      <c r="DZ42" s="42">
        <f t="shared" si="54"/>
        <v>17800216</v>
      </c>
      <c r="EB42" s="47">
        <f t="shared" si="15"/>
        <v>655388854</v>
      </c>
      <c r="EC42" s="47">
        <f t="shared" si="16"/>
        <v>655388854</v>
      </c>
      <c r="ED42" s="47">
        <f t="shared" si="17"/>
        <v>655388854</v>
      </c>
      <c r="EF42" s="47"/>
    </row>
    <row r="43" spans="1:136" ht="43.2" customHeight="1" x14ac:dyDescent="0.3">
      <c r="A43" s="48"/>
      <c r="B43" s="75"/>
      <c r="C43" s="38" t="s">
        <v>145</v>
      </c>
      <c r="D43" s="50" t="s">
        <v>146</v>
      </c>
      <c r="E43" s="40">
        <v>410</v>
      </c>
      <c r="F43" s="41" t="s">
        <v>139</v>
      </c>
      <c r="G43" s="42">
        <f t="shared" si="42"/>
        <v>120369599</v>
      </c>
      <c r="H43" s="42"/>
      <c r="I43" s="42"/>
      <c r="J43" s="42"/>
      <c r="K43" s="42"/>
      <c r="L43" s="42"/>
      <c r="M43" s="42"/>
      <c r="N43" s="42"/>
      <c r="O43" s="42">
        <v>70000000</v>
      </c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>
        <f>35369599+15000000</f>
        <v>50369599</v>
      </c>
      <c r="AA43" s="42"/>
      <c r="AB43" s="42"/>
      <c r="AC43" s="42"/>
      <c r="AD43" s="42"/>
      <c r="AE43" s="43">
        <f t="shared" si="32"/>
        <v>0.9862408032114488</v>
      </c>
      <c r="AF43" s="42">
        <f t="shared" si="43"/>
        <v>118713410</v>
      </c>
      <c r="AG43" s="42"/>
      <c r="AH43" s="42"/>
      <c r="AI43" s="42"/>
      <c r="AJ43" s="42"/>
      <c r="AK43" s="42"/>
      <c r="AL43" s="42"/>
      <c r="AM43" s="42"/>
      <c r="AN43" s="42">
        <f>+'[3]NOVIEMBRE 2019'!$Q$1948</f>
        <v>70000000</v>
      </c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>
        <f>+'[3]NOVIEMBRE 2019'!$AB$1948</f>
        <v>48713410</v>
      </c>
      <c r="AZ43" s="42"/>
      <c r="BA43" s="42"/>
      <c r="BB43" s="42"/>
      <c r="BC43" s="42"/>
      <c r="BD43" s="43">
        <f t="shared" si="3"/>
        <v>1.3759196788551198E-2</v>
      </c>
      <c r="BE43" s="42">
        <f t="shared" si="44"/>
        <v>1656189</v>
      </c>
      <c r="BF43" s="42">
        <f t="shared" si="45"/>
        <v>0</v>
      </c>
      <c r="BG43" s="42">
        <f t="shared" si="45"/>
        <v>0</v>
      </c>
      <c r="BH43" s="42">
        <f t="shared" si="45"/>
        <v>0</v>
      </c>
      <c r="BI43" s="42">
        <f t="shared" si="46"/>
        <v>0</v>
      </c>
      <c r="BJ43" s="42">
        <f t="shared" si="47"/>
        <v>0</v>
      </c>
      <c r="BK43" s="42">
        <f t="shared" si="47"/>
        <v>0</v>
      </c>
      <c r="BL43" s="42">
        <f t="shared" si="47"/>
        <v>0</v>
      </c>
      <c r="BM43" s="42">
        <f t="shared" si="47"/>
        <v>0</v>
      </c>
      <c r="BN43" s="42">
        <f t="shared" si="47"/>
        <v>0</v>
      </c>
      <c r="BO43" s="42">
        <f t="shared" si="47"/>
        <v>0</v>
      </c>
      <c r="BP43" s="42">
        <f t="shared" si="47"/>
        <v>0</v>
      </c>
      <c r="BQ43" s="42">
        <f t="shared" si="47"/>
        <v>0</v>
      </c>
      <c r="BR43" s="42">
        <f t="shared" si="47"/>
        <v>0</v>
      </c>
      <c r="BS43" s="42">
        <f t="shared" si="47"/>
        <v>0</v>
      </c>
      <c r="BT43" s="42">
        <f t="shared" si="47"/>
        <v>0</v>
      </c>
      <c r="BU43" s="42">
        <f t="shared" si="47"/>
        <v>0</v>
      </c>
      <c r="BV43" s="42">
        <f t="shared" si="47"/>
        <v>0</v>
      </c>
      <c r="BW43" s="42">
        <f t="shared" si="47"/>
        <v>0</v>
      </c>
      <c r="BX43" s="42">
        <f t="shared" si="47"/>
        <v>1656189</v>
      </c>
      <c r="BY43" s="42">
        <f t="shared" si="47"/>
        <v>0</v>
      </c>
      <c r="BZ43" s="42">
        <f t="shared" si="48"/>
        <v>0</v>
      </c>
      <c r="CA43" s="42"/>
      <c r="CB43" s="42">
        <f t="shared" si="49"/>
        <v>0</v>
      </c>
      <c r="CC43" s="43">
        <f t="shared" si="8"/>
        <v>0.96530528443481811</v>
      </c>
      <c r="CD43" s="42">
        <f t="shared" si="50"/>
        <v>116193410</v>
      </c>
      <c r="CE43" s="42"/>
      <c r="CF43" s="42"/>
      <c r="CG43" s="42"/>
      <c r="CH43" s="42"/>
      <c r="CI43" s="42"/>
      <c r="CJ43" s="42"/>
      <c r="CK43" s="42"/>
      <c r="CL43" s="42">
        <f>+'[3]NOVIEMBRE 2019'!$H$1949+'[3]NOVIEMBRE 2019'!$H$1952+'[3]NOVIEMBRE 2019'!$H$1954+'[3]NOVIEMBRE 2019'!$H$1955+'[3]NOVIEMBRE 2019'!$H$1958+'[3]NOVIEMBRE 2019'!$H$1960+'[3]NOVIEMBRE 2019'!$H$1963+'[3]NOVIEMBRE 2019'!$H$1966+'[3]NOVIEMBRE 2019'!$H$1968+'[3]NOVIEMBRE 2019'!$H$1969+'[3]NOVIEMBRE 2019'!$H$1970+'[3]NOVIEMBRE 2019'!$H$1971+'[3]NOVIEMBRE 2019'!$H$1973+'[3]NOVIEMBRE 2019'!$H$1974+'[3]NOVIEMBRE 2019'!$H$1975+'[3]NOVIEMBRE 2019'!$H$1976+'[3]NOVIEMBRE 2019'!$H$1977+'[3]NOVIEMBRE 2019'!$H$1978+'[3]NOVIEMBRE 2019'!$H$1979+'[3]NOVIEMBRE 2019'!$H$1980+'[3]NOVIEMBRE 2019'!$H$1981+'[3]NOVIEMBRE 2019'!$H$1982+'[3]NOVIEMBRE 2019'!$H$1984+'[3]NOVIEMBRE 2019'!$H$1985+'[3]NOVIEMBRE 2019'!$H$2000+'[3]NOVIEMBRE 2019'!$H$2019</f>
        <v>70000000</v>
      </c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>
        <f>+'[3]NOVIEMBRE 2019'!$H$1986+'[3]NOVIEMBRE 2019'!$H$1987+'[3]NOVIEMBRE 2019'!$H$1988+'[3]NOVIEMBRE 2019'!$H$1989+'[3]NOVIEMBRE 2019'!$H$1990+'[3]NOVIEMBRE 2019'!$H$1993+'[3]NOVIEMBRE 2019'!$H$1996+'[3]NOVIEMBRE 2019'!$H$2001+'[3]NOVIEMBRE 2019'!$H$2002+'[3]NOVIEMBRE 2019'!$H$2003+'[3]NOVIEMBRE 2019'!$H$2004+'[3]NOVIEMBRE 2019'!$H$2005+'[3]NOVIEMBRE 2019'!$H$2006+'[3]NOVIEMBRE 2019'!$H$2008+'[3]NOVIEMBRE 2019'!$H$2009+'[3]NOVIEMBRE 2019'!$H$2010+'[3]NOVIEMBRE 2019'!$H$2011+'[3]NOVIEMBRE 2019'!$H$2012+'[3]NOVIEMBRE 2019'!$H$2013+'[3]NOVIEMBRE 2019'!$H$2014+'[3]NOVIEMBRE 2019'!$H$2015+'[3]NOVIEMBRE 2019'!$H$2016+'[3]NOVIEMBRE 2019'!$H$2017+'[3]NOVIEMBRE 2019'!$H$2018</f>
        <v>46193410</v>
      </c>
      <c r="CX43" s="42"/>
      <c r="CY43" s="42"/>
      <c r="CZ43" s="42"/>
      <c r="DA43" s="42"/>
      <c r="DB43" s="43">
        <f t="shared" si="10"/>
        <v>3.4694715565181888E-2</v>
      </c>
      <c r="DC43" s="42">
        <f t="shared" si="51"/>
        <v>4176189</v>
      </c>
      <c r="DD43" s="42">
        <f t="shared" si="52"/>
        <v>0</v>
      </c>
      <c r="DE43" s="42">
        <f t="shared" si="52"/>
        <v>0</v>
      </c>
      <c r="DF43" s="42">
        <f t="shared" si="52"/>
        <v>0</v>
      </c>
      <c r="DG43" s="42">
        <f t="shared" si="52"/>
        <v>0</v>
      </c>
      <c r="DH43" s="42">
        <f t="shared" si="52"/>
        <v>0</v>
      </c>
      <c r="DI43" s="42">
        <f t="shared" si="52"/>
        <v>0</v>
      </c>
      <c r="DJ43" s="42">
        <f t="shared" si="52"/>
        <v>0</v>
      </c>
      <c r="DK43" s="42">
        <f t="shared" si="52"/>
        <v>0</v>
      </c>
      <c r="DL43" s="42">
        <f t="shared" si="52"/>
        <v>0</v>
      </c>
      <c r="DM43" s="42">
        <f t="shared" si="52"/>
        <v>0</v>
      </c>
      <c r="DN43" s="42">
        <f t="shared" si="52"/>
        <v>0</v>
      </c>
      <c r="DO43" s="42">
        <f t="shared" si="52"/>
        <v>0</v>
      </c>
      <c r="DP43" s="42">
        <f t="shared" si="52"/>
        <v>0</v>
      </c>
      <c r="DQ43" s="42">
        <f t="shared" si="52"/>
        <v>0</v>
      </c>
      <c r="DR43" s="42">
        <f t="shared" si="52"/>
        <v>0</v>
      </c>
      <c r="DS43" s="42">
        <f t="shared" si="52"/>
        <v>0</v>
      </c>
      <c r="DT43" s="42">
        <f t="shared" si="53"/>
        <v>0</v>
      </c>
      <c r="DU43" s="42">
        <f t="shared" si="53"/>
        <v>0</v>
      </c>
      <c r="DV43" s="42">
        <f t="shared" si="53"/>
        <v>4176189</v>
      </c>
      <c r="DW43" s="42">
        <f t="shared" si="53"/>
        <v>0</v>
      </c>
      <c r="DX43" s="42">
        <f t="shared" si="53"/>
        <v>0</v>
      </c>
      <c r="DY43" s="42"/>
      <c r="DZ43" s="42">
        <f t="shared" si="54"/>
        <v>0</v>
      </c>
      <c r="EB43" s="47">
        <f t="shared" si="15"/>
        <v>120369599</v>
      </c>
      <c r="EC43" s="47">
        <f t="shared" si="16"/>
        <v>120369599</v>
      </c>
      <c r="ED43" s="47">
        <f t="shared" si="17"/>
        <v>120369599</v>
      </c>
    </row>
    <row r="44" spans="1:136" ht="30.75" customHeight="1" x14ac:dyDescent="0.3">
      <c r="A44" s="48"/>
      <c r="B44" s="80" t="s">
        <v>147</v>
      </c>
      <c r="C44" s="81" t="s">
        <v>148</v>
      </c>
      <c r="D44" s="50" t="s">
        <v>149</v>
      </c>
      <c r="E44" s="79">
        <v>410</v>
      </c>
      <c r="F44" s="60" t="s">
        <v>150</v>
      </c>
      <c r="G44" s="42">
        <f t="shared" si="42"/>
        <v>83000000</v>
      </c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>
        <v>5000000</v>
      </c>
      <c r="U44" s="42">
        <v>10000000</v>
      </c>
      <c r="V44" s="42">
        <f>5000000+15000000</f>
        <v>20000000</v>
      </c>
      <c r="W44" s="42"/>
      <c r="X44" s="42"/>
      <c r="Y44" s="42"/>
      <c r="Z44" s="42">
        <v>20000000</v>
      </c>
      <c r="AA44" s="42"/>
      <c r="AB44" s="42"/>
      <c r="AC44" s="42"/>
      <c r="AD44" s="42">
        <f>20000000+18000000-10000000</f>
        <v>28000000</v>
      </c>
      <c r="AE44" s="43">
        <f t="shared" si="32"/>
        <v>0.49054143373493975</v>
      </c>
      <c r="AF44" s="42">
        <f t="shared" si="43"/>
        <v>40714939</v>
      </c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>
        <f>+'[3]NOVIEMBRE 2019'!$V$2053</f>
        <v>2114681</v>
      </c>
      <c r="AT44" s="42">
        <f>+'[3]NOVIEMBRE 2019'!$W$2053</f>
        <v>2565739</v>
      </c>
      <c r="AU44" s="42">
        <f>+'[3]NOVIEMBRE 2019'!$X$2053</f>
        <v>2768519</v>
      </c>
      <c r="AV44" s="42"/>
      <c r="AW44" s="42"/>
      <c r="AX44" s="42"/>
      <c r="AY44" s="42">
        <f>+'[1]OCTUBRE 2019'!$AB$1846</f>
        <v>5266000</v>
      </c>
      <c r="AZ44" s="42"/>
      <c r="BA44" s="42"/>
      <c r="BB44" s="42"/>
      <c r="BC44" s="42">
        <f>+'[12]JULIO 2019'!$AF$1214</f>
        <v>28000000</v>
      </c>
      <c r="BD44" s="43">
        <f t="shared" si="3"/>
        <v>0.50945856626506025</v>
      </c>
      <c r="BE44" s="42">
        <f t="shared" si="44"/>
        <v>42285061</v>
      </c>
      <c r="BF44" s="42">
        <f t="shared" si="45"/>
        <v>0</v>
      </c>
      <c r="BG44" s="42">
        <f t="shared" si="45"/>
        <v>0</v>
      </c>
      <c r="BH44" s="42">
        <f t="shared" si="45"/>
        <v>0</v>
      </c>
      <c r="BI44" s="42">
        <f t="shared" si="46"/>
        <v>0</v>
      </c>
      <c r="BJ44" s="42">
        <f t="shared" si="47"/>
        <v>0</v>
      </c>
      <c r="BK44" s="42">
        <f t="shared" si="47"/>
        <v>0</v>
      </c>
      <c r="BL44" s="42">
        <f t="shared" si="47"/>
        <v>0</v>
      </c>
      <c r="BM44" s="42">
        <f t="shared" si="47"/>
        <v>0</v>
      </c>
      <c r="BN44" s="42">
        <f t="shared" si="47"/>
        <v>0</v>
      </c>
      <c r="BO44" s="42">
        <f t="shared" si="47"/>
        <v>0</v>
      </c>
      <c r="BP44" s="42">
        <f t="shared" si="47"/>
        <v>0</v>
      </c>
      <c r="BQ44" s="42">
        <f t="shared" si="47"/>
        <v>0</v>
      </c>
      <c r="BR44" s="42">
        <f t="shared" si="47"/>
        <v>2885319</v>
      </c>
      <c r="BS44" s="42">
        <f t="shared" si="47"/>
        <v>7434261</v>
      </c>
      <c r="BT44" s="42">
        <f t="shared" si="47"/>
        <v>17231481</v>
      </c>
      <c r="BU44" s="42">
        <f t="shared" si="47"/>
        <v>0</v>
      </c>
      <c r="BV44" s="42">
        <f t="shared" si="47"/>
        <v>0</v>
      </c>
      <c r="BW44" s="42">
        <f t="shared" si="47"/>
        <v>0</v>
      </c>
      <c r="BX44" s="42">
        <f t="shared" si="47"/>
        <v>14734000</v>
      </c>
      <c r="BY44" s="42">
        <f t="shared" si="47"/>
        <v>0</v>
      </c>
      <c r="BZ44" s="42">
        <f t="shared" si="48"/>
        <v>0</v>
      </c>
      <c r="CA44" s="42"/>
      <c r="CB44" s="42">
        <f t="shared" si="49"/>
        <v>0</v>
      </c>
      <c r="CC44" s="43">
        <f t="shared" si="8"/>
        <v>0.33245308433734938</v>
      </c>
      <c r="CD44" s="42">
        <f t="shared" si="50"/>
        <v>27593606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>
        <f>+'[3]NOVIEMBRE 2019'!$H$2059+'[3]NOVIEMBRE 2019'!$H$2067+'[3]NOVIEMBRE 2019'!$H$2082+'[3]NOVIEMBRE 2019'!$H$2086</f>
        <v>2114681</v>
      </c>
      <c r="CR44" s="42">
        <f>+'[3]NOVIEMBRE 2019'!$H$2061+'[3]NOVIEMBRE 2019'!$H$2066+'[3]NOVIEMBRE 2019'!$H$2068+'[3]NOVIEMBRE 2019'!$H$2083+'[3]NOVIEMBRE 2019'!$H$2087</f>
        <v>2565739</v>
      </c>
      <c r="CS44" s="42">
        <f>+'[3]NOVIEMBRE 2019'!$H$2063+'[3]NOVIEMBRE 2019'!$H$2069+'[3]NOVIEMBRE 2019'!$H$2084+'[3]NOVIEMBRE 2019'!$H$2085+'[3]NOVIEMBRE 2019'!$H$2088</f>
        <v>2768519</v>
      </c>
      <c r="CT44" s="42"/>
      <c r="CU44" s="42"/>
      <c r="CV44" s="42"/>
      <c r="CW44" s="42">
        <f>+'[3]NOVIEMBRE 2019'!$H$2074+'[3]NOVIEMBRE 2019'!$H$2079+'[3]NOVIEMBRE 2019'!$H$2080</f>
        <v>5266000</v>
      </c>
      <c r="CX44" s="42"/>
      <c r="CY44" s="42"/>
      <c r="CZ44" s="42"/>
      <c r="DA44" s="42">
        <f>+'[3]NOVIEMBRE 2019'!$H$2054+'[3]NOVIEMBRE 2019'!$H$2070+'[3]NOVIEMBRE 2019'!$H$2076</f>
        <v>14878667</v>
      </c>
      <c r="DB44" s="43">
        <f t="shared" si="10"/>
        <v>0.66754691566265056</v>
      </c>
      <c r="DC44" s="42">
        <f t="shared" si="51"/>
        <v>55406394</v>
      </c>
      <c r="DD44" s="42">
        <f t="shared" si="52"/>
        <v>0</v>
      </c>
      <c r="DE44" s="42">
        <f t="shared" si="52"/>
        <v>0</v>
      </c>
      <c r="DF44" s="42">
        <f t="shared" si="52"/>
        <v>0</v>
      </c>
      <c r="DG44" s="42">
        <f t="shared" si="52"/>
        <v>0</v>
      </c>
      <c r="DH44" s="42">
        <f t="shared" si="52"/>
        <v>0</v>
      </c>
      <c r="DI44" s="42">
        <f t="shared" si="52"/>
        <v>0</v>
      </c>
      <c r="DJ44" s="42">
        <f t="shared" si="52"/>
        <v>0</v>
      </c>
      <c r="DK44" s="42">
        <f t="shared" si="52"/>
        <v>0</v>
      </c>
      <c r="DL44" s="42">
        <f t="shared" si="52"/>
        <v>0</v>
      </c>
      <c r="DM44" s="42">
        <f t="shared" si="52"/>
        <v>0</v>
      </c>
      <c r="DN44" s="42">
        <f t="shared" si="52"/>
        <v>0</v>
      </c>
      <c r="DO44" s="42">
        <f t="shared" si="52"/>
        <v>0</v>
      </c>
      <c r="DP44" s="42">
        <f t="shared" si="52"/>
        <v>2885319</v>
      </c>
      <c r="DQ44" s="42">
        <f t="shared" si="52"/>
        <v>7434261</v>
      </c>
      <c r="DR44" s="42">
        <f t="shared" si="52"/>
        <v>17231481</v>
      </c>
      <c r="DS44" s="42">
        <f t="shared" si="52"/>
        <v>0</v>
      </c>
      <c r="DT44" s="42">
        <f t="shared" si="53"/>
        <v>0</v>
      </c>
      <c r="DU44" s="42">
        <f t="shared" si="53"/>
        <v>0</v>
      </c>
      <c r="DV44" s="42">
        <f t="shared" si="53"/>
        <v>14734000</v>
      </c>
      <c r="DW44" s="42">
        <f t="shared" si="53"/>
        <v>0</v>
      </c>
      <c r="DX44" s="42">
        <f t="shared" si="53"/>
        <v>0</v>
      </c>
      <c r="DY44" s="42"/>
      <c r="DZ44" s="42">
        <f t="shared" si="54"/>
        <v>13121333</v>
      </c>
      <c r="EB44" s="47">
        <f t="shared" si="15"/>
        <v>83000000</v>
      </c>
      <c r="EC44" s="47">
        <f t="shared" si="16"/>
        <v>83000000</v>
      </c>
      <c r="ED44" s="47">
        <f t="shared" si="17"/>
        <v>83000000</v>
      </c>
    </row>
    <row r="45" spans="1:136" ht="54.6" customHeight="1" x14ac:dyDescent="0.3">
      <c r="A45" s="48"/>
      <c r="B45" s="80"/>
      <c r="C45" s="38" t="s">
        <v>151</v>
      </c>
      <c r="D45" s="50" t="s">
        <v>152</v>
      </c>
      <c r="E45" s="40">
        <v>410</v>
      </c>
      <c r="F45" s="41" t="s">
        <v>153</v>
      </c>
      <c r="G45" s="42">
        <f t="shared" si="42"/>
        <v>30000000</v>
      </c>
      <c r="H45" s="42"/>
      <c r="I45" s="42"/>
      <c r="J45" s="42"/>
      <c r="K45" s="42"/>
      <c r="L45" s="42"/>
      <c r="M45" s="42"/>
      <c r="N45" s="42"/>
      <c r="O45" s="42">
        <v>10000000</v>
      </c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>
        <v>20000000</v>
      </c>
      <c r="AA45" s="42"/>
      <c r="AB45" s="42"/>
      <c r="AC45" s="42"/>
      <c r="AD45" s="42"/>
      <c r="AE45" s="43">
        <f t="shared" si="32"/>
        <v>0.92900173333333336</v>
      </c>
      <c r="AF45" s="42">
        <f t="shared" si="43"/>
        <v>27870052</v>
      </c>
      <c r="AG45" s="42"/>
      <c r="AH45" s="42"/>
      <c r="AI45" s="42"/>
      <c r="AJ45" s="42"/>
      <c r="AK45" s="42"/>
      <c r="AL45" s="42"/>
      <c r="AM45" s="42"/>
      <c r="AN45" s="42">
        <f>+'[12]JULIO 2019'!$P$1244</f>
        <v>8000000</v>
      </c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>
        <f>+'[2]SEPTIEMBRE 2019'!$AB$1683</f>
        <v>19870052</v>
      </c>
      <c r="AZ45" s="42"/>
      <c r="BA45" s="42"/>
      <c r="BB45" s="42"/>
      <c r="BC45" s="42"/>
      <c r="BD45" s="43">
        <f t="shared" si="3"/>
        <v>7.0998266666666643E-2</v>
      </c>
      <c r="BE45" s="42">
        <f t="shared" si="44"/>
        <v>2129948</v>
      </c>
      <c r="BF45" s="42">
        <f t="shared" si="45"/>
        <v>0</v>
      </c>
      <c r="BG45" s="42">
        <f t="shared" si="45"/>
        <v>0</v>
      </c>
      <c r="BH45" s="42">
        <f t="shared" si="45"/>
        <v>0</v>
      </c>
      <c r="BI45" s="42">
        <f t="shared" si="46"/>
        <v>0</v>
      </c>
      <c r="BJ45" s="42">
        <f t="shared" si="47"/>
        <v>0</v>
      </c>
      <c r="BK45" s="42">
        <f t="shared" si="47"/>
        <v>0</v>
      </c>
      <c r="BL45" s="42">
        <f t="shared" si="47"/>
        <v>0</v>
      </c>
      <c r="BM45" s="42">
        <f t="shared" si="47"/>
        <v>2000000</v>
      </c>
      <c r="BN45" s="42">
        <f t="shared" si="47"/>
        <v>0</v>
      </c>
      <c r="BO45" s="42">
        <f t="shared" si="47"/>
        <v>0</v>
      </c>
      <c r="BP45" s="42">
        <f t="shared" si="47"/>
        <v>0</v>
      </c>
      <c r="BQ45" s="42">
        <f t="shared" si="47"/>
        <v>0</v>
      </c>
      <c r="BR45" s="42">
        <f t="shared" si="47"/>
        <v>0</v>
      </c>
      <c r="BS45" s="42">
        <f t="shared" si="47"/>
        <v>0</v>
      </c>
      <c r="BT45" s="42">
        <f t="shared" si="47"/>
        <v>0</v>
      </c>
      <c r="BU45" s="42">
        <f t="shared" si="47"/>
        <v>0</v>
      </c>
      <c r="BV45" s="42">
        <f t="shared" si="47"/>
        <v>0</v>
      </c>
      <c r="BW45" s="42">
        <f t="shared" si="47"/>
        <v>0</v>
      </c>
      <c r="BX45" s="42">
        <f t="shared" si="47"/>
        <v>129948</v>
      </c>
      <c r="BY45" s="42">
        <f t="shared" si="47"/>
        <v>0</v>
      </c>
      <c r="BZ45" s="42">
        <f t="shared" si="48"/>
        <v>0</v>
      </c>
      <c r="CA45" s="42"/>
      <c r="CB45" s="42">
        <f t="shared" si="49"/>
        <v>0</v>
      </c>
      <c r="CC45" s="43">
        <f t="shared" si="8"/>
        <v>0.9269797666666667</v>
      </c>
      <c r="CD45" s="42">
        <f t="shared" si="50"/>
        <v>27809393</v>
      </c>
      <c r="CE45" s="42"/>
      <c r="CF45" s="42"/>
      <c r="CG45" s="42"/>
      <c r="CH45" s="42"/>
      <c r="CI45" s="42"/>
      <c r="CJ45" s="42"/>
      <c r="CK45" s="42"/>
      <c r="CL45" s="42">
        <f>+'[12]JULIO 2019'!$H$1256</f>
        <v>7943538</v>
      </c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>
        <f>+'[2]SEPTIEMBRE 2019'!$H$1681-CL45</f>
        <v>19865855</v>
      </c>
      <c r="CX45" s="42"/>
      <c r="CY45" s="42"/>
      <c r="CZ45" s="42"/>
      <c r="DA45" s="42"/>
      <c r="DB45" s="43">
        <f t="shared" si="10"/>
        <v>7.3020233333333295E-2</v>
      </c>
      <c r="DC45" s="42">
        <f t="shared" si="51"/>
        <v>2190607</v>
      </c>
      <c r="DD45" s="42">
        <f t="shared" si="52"/>
        <v>0</v>
      </c>
      <c r="DE45" s="42">
        <f t="shared" si="52"/>
        <v>0</v>
      </c>
      <c r="DF45" s="42">
        <f t="shared" si="52"/>
        <v>0</v>
      </c>
      <c r="DG45" s="42">
        <f t="shared" si="52"/>
        <v>0</v>
      </c>
      <c r="DH45" s="42">
        <f t="shared" si="52"/>
        <v>0</v>
      </c>
      <c r="DI45" s="42">
        <f t="shared" si="52"/>
        <v>0</v>
      </c>
      <c r="DJ45" s="42">
        <f t="shared" si="52"/>
        <v>0</v>
      </c>
      <c r="DK45" s="42">
        <f t="shared" si="52"/>
        <v>2056462</v>
      </c>
      <c r="DL45" s="42">
        <f t="shared" si="52"/>
        <v>0</v>
      </c>
      <c r="DM45" s="42">
        <f t="shared" si="52"/>
        <v>0</v>
      </c>
      <c r="DN45" s="42">
        <f t="shared" si="52"/>
        <v>0</v>
      </c>
      <c r="DO45" s="42">
        <f t="shared" si="52"/>
        <v>0</v>
      </c>
      <c r="DP45" s="42">
        <f t="shared" si="52"/>
        <v>0</v>
      </c>
      <c r="DQ45" s="42">
        <f t="shared" si="52"/>
        <v>0</v>
      </c>
      <c r="DR45" s="42">
        <f t="shared" si="52"/>
        <v>0</v>
      </c>
      <c r="DS45" s="42">
        <f t="shared" si="52"/>
        <v>0</v>
      </c>
      <c r="DT45" s="42">
        <f t="shared" si="53"/>
        <v>0</v>
      </c>
      <c r="DU45" s="42">
        <f t="shared" si="53"/>
        <v>0</v>
      </c>
      <c r="DV45" s="42">
        <f t="shared" si="53"/>
        <v>134145</v>
      </c>
      <c r="DW45" s="42">
        <f t="shared" si="53"/>
        <v>0</v>
      </c>
      <c r="DX45" s="42">
        <f t="shared" si="53"/>
        <v>0</v>
      </c>
      <c r="DY45" s="42"/>
      <c r="DZ45" s="42">
        <f t="shared" si="54"/>
        <v>0</v>
      </c>
      <c r="EB45" s="47">
        <f t="shared" si="15"/>
        <v>30000000</v>
      </c>
      <c r="EC45" s="47">
        <f t="shared" si="16"/>
        <v>30000000</v>
      </c>
      <c r="ED45" s="47">
        <f t="shared" si="17"/>
        <v>30000000</v>
      </c>
    </row>
    <row r="46" spans="1:136" ht="46.8" customHeight="1" x14ac:dyDescent="0.3">
      <c r="A46" s="48"/>
      <c r="B46" s="80"/>
      <c r="C46" s="38" t="s">
        <v>154</v>
      </c>
      <c r="D46" s="50" t="s">
        <v>155</v>
      </c>
      <c r="E46" s="40">
        <v>410</v>
      </c>
      <c r="F46" s="41" t="s">
        <v>156</v>
      </c>
      <c r="G46" s="42">
        <f t="shared" si="42"/>
        <v>175597081</v>
      </c>
      <c r="H46" s="42"/>
      <c r="I46" s="42"/>
      <c r="J46" s="42"/>
      <c r="K46" s="42"/>
      <c r="L46" s="42"/>
      <c r="M46" s="42"/>
      <c r="N46" s="42"/>
      <c r="O46" s="42">
        <f>60000000-10000000</f>
        <v>50000000</v>
      </c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>
        <f>70000000+20000000+15000000+15597081+5000000</f>
        <v>125597081</v>
      </c>
      <c r="AE46" s="43">
        <f t="shared" si="32"/>
        <v>0.69636200843224727</v>
      </c>
      <c r="AF46" s="42">
        <f t="shared" si="43"/>
        <v>122279136</v>
      </c>
      <c r="AG46" s="42"/>
      <c r="AH46" s="42"/>
      <c r="AI46" s="42"/>
      <c r="AJ46" s="42"/>
      <c r="AK46" s="42"/>
      <c r="AL46" s="42"/>
      <c r="AM46" s="42"/>
      <c r="AN46" s="42">
        <f>+'[1]OCTUBRE 2019'!$Q$1906</f>
        <v>49002673</v>
      </c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>
        <f>+'[3]NOVIEMBRE 2019'!$AG$2116</f>
        <v>73276463</v>
      </c>
      <c r="BD46" s="43">
        <f t="shared" si="3"/>
        <v>0.30363799156775273</v>
      </c>
      <c r="BE46" s="42">
        <f t="shared" si="44"/>
        <v>53317945</v>
      </c>
      <c r="BF46" s="42">
        <f t="shared" si="45"/>
        <v>0</v>
      </c>
      <c r="BG46" s="42">
        <f t="shared" si="45"/>
        <v>0</v>
      </c>
      <c r="BH46" s="42">
        <f t="shared" si="45"/>
        <v>0</v>
      </c>
      <c r="BI46" s="42">
        <f t="shared" si="46"/>
        <v>0</v>
      </c>
      <c r="BJ46" s="42">
        <f t="shared" si="47"/>
        <v>0</v>
      </c>
      <c r="BK46" s="42">
        <f t="shared" si="47"/>
        <v>0</v>
      </c>
      <c r="BL46" s="42">
        <f t="shared" si="47"/>
        <v>0</v>
      </c>
      <c r="BM46" s="42">
        <f t="shared" si="47"/>
        <v>997327</v>
      </c>
      <c r="BN46" s="42">
        <f t="shared" si="47"/>
        <v>0</v>
      </c>
      <c r="BO46" s="42">
        <f t="shared" si="47"/>
        <v>0</v>
      </c>
      <c r="BP46" s="42">
        <f t="shared" si="47"/>
        <v>0</v>
      </c>
      <c r="BQ46" s="42">
        <f t="shared" si="47"/>
        <v>0</v>
      </c>
      <c r="BR46" s="42">
        <f t="shared" si="47"/>
        <v>0</v>
      </c>
      <c r="BS46" s="42">
        <f t="shared" si="47"/>
        <v>0</v>
      </c>
      <c r="BT46" s="42">
        <f t="shared" si="47"/>
        <v>0</v>
      </c>
      <c r="BU46" s="42">
        <f t="shared" si="47"/>
        <v>0</v>
      </c>
      <c r="BV46" s="42">
        <f t="shared" si="47"/>
        <v>0</v>
      </c>
      <c r="BW46" s="42">
        <f t="shared" si="47"/>
        <v>0</v>
      </c>
      <c r="BX46" s="42">
        <f t="shared" si="47"/>
        <v>0</v>
      </c>
      <c r="BY46" s="42">
        <f t="shared" si="47"/>
        <v>0</v>
      </c>
      <c r="BZ46" s="42">
        <f t="shared" si="48"/>
        <v>0</v>
      </c>
      <c r="CA46" s="42"/>
      <c r="CB46" s="42">
        <f t="shared" si="49"/>
        <v>52320618</v>
      </c>
      <c r="CC46" s="43">
        <f t="shared" si="8"/>
        <v>0.61589319927248676</v>
      </c>
      <c r="CD46" s="42">
        <f t="shared" si="50"/>
        <v>108149048</v>
      </c>
      <c r="CE46" s="42"/>
      <c r="CF46" s="42"/>
      <c r="CG46" s="42"/>
      <c r="CH46" s="42"/>
      <c r="CI46" s="42"/>
      <c r="CJ46" s="42"/>
      <c r="CK46" s="42"/>
      <c r="CL46" s="42">
        <f>+'[1]OCTUBRE 2019'!$H$1916+'[1]OCTUBRE 2019'!$H$1917+'[1]OCTUBRE 2019'!$H$1918+'[1]OCTUBRE 2019'!$H$1929+'[1]OCTUBRE 2019'!$H$1930+'[1]OCTUBRE 2019'!$H$1935+'[1]OCTUBRE 2019'!$H$1941+'[1]OCTUBRE 2019'!$H$1943+'[1]OCTUBRE 2019'!$H$1944+'[1]OCTUBRE 2019'!$H$1947+'[1]OCTUBRE 2019'!$H$1949+'[1]OCTUBRE 2019'!$H$1950+'[1]OCTUBRE 2019'!$H$1951+'[1]OCTUBRE 2019'!$H$1952+'[1]OCTUBRE 2019'!$H$1955+'[1]OCTUBRE 2019'!$H$1956+'[1]OCTUBRE 2019'!$H$1961+'[1]OCTUBRE 2019'!$H$1962+'[1]OCTUBRE 2019'!$H$1963+'[1]OCTUBRE 2019'!$H$1964+'[1]OCTUBRE 2019'!$H$1965+'[1]OCTUBRE 2019'!$H$1966+'[1]OCTUBRE 2019'!$H$1967</f>
        <v>49002673</v>
      </c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>
        <f>+'[3]NOVIEMBRE 2019'!$H$2117+'[3]NOVIEMBRE 2019'!$H$2129+'[3]NOVIEMBRE 2019'!$H$2130+'[3]NOVIEMBRE 2019'!$H$2132+'[3]NOVIEMBRE 2019'!$H$2141+'[3]NOVIEMBRE 2019'!$H$2142+'[3]NOVIEMBRE 2019'!$H$2143+'[3]NOVIEMBRE 2019'!$H$2147+'[3]NOVIEMBRE 2019'!$H$2155+'[3]NOVIEMBRE 2019'!$H$2156+'[3]NOVIEMBRE 2019'!$H$2158+'[3]NOVIEMBRE 2019'!$H$2163+'[3]NOVIEMBRE 2019'!$H$2167+'[3]NOVIEMBRE 2019'!$H$2168+'[3]NOVIEMBRE 2019'!$H$2169+'[3]NOVIEMBRE 2019'!$H$2178+'[3]NOVIEMBRE 2019'!$H$2179+'[3]NOVIEMBRE 2019'!$H$2180+'[3]NOVIEMBRE 2019'!$H$2181+'[3]NOVIEMBRE 2019'!$H$2182+'[3]NOVIEMBRE 2019'!$H$2183+'[3]NOVIEMBRE 2019'!$H$2184+'[3]NOVIEMBRE 2019'!$H$2185+'[3]NOVIEMBRE 2019'!$H$2186+'[3]NOVIEMBRE 2019'!$H$2187+'[3]NOVIEMBRE 2019'!$H$2188</f>
        <v>59146375</v>
      </c>
      <c r="DB46" s="43">
        <f t="shared" si="10"/>
        <v>0.38410680072751324</v>
      </c>
      <c r="DC46" s="42">
        <f t="shared" si="51"/>
        <v>67448033</v>
      </c>
      <c r="DD46" s="42">
        <f t="shared" si="52"/>
        <v>0</v>
      </c>
      <c r="DE46" s="42">
        <f t="shared" si="52"/>
        <v>0</v>
      </c>
      <c r="DF46" s="42">
        <f t="shared" si="52"/>
        <v>0</v>
      </c>
      <c r="DG46" s="42">
        <f t="shared" si="52"/>
        <v>0</v>
      </c>
      <c r="DH46" s="42">
        <f t="shared" si="52"/>
        <v>0</v>
      </c>
      <c r="DI46" s="42">
        <f t="shared" si="52"/>
        <v>0</v>
      </c>
      <c r="DJ46" s="42">
        <f t="shared" si="52"/>
        <v>0</v>
      </c>
      <c r="DK46" s="42">
        <f t="shared" si="52"/>
        <v>997327</v>
      </c>
      <c r="DL46" s="42">
        <f t="shared" si="52"/>
        <v>0</v>
      </c>
      <c r="DM46" s="42">
        <f t="shared" si="52"/>
        <v>0</v>
      </c>
      <c r="DN46" s="42">
        <f t="shared" si="52"/>
        <v>0</v>
      </c>
      <c r="DO46" s="42">
        <f t="shared" si="52"/>
        <v>0</v>
      </c>
      <c r="DP46" s="42">
        <f t="shared" si="52"/>
        <v>0</v>
      </c>
      <c r="DQ46" s="42">
        <f t="shared" si="52"/>
        <v>0</v>
      </c>
      <c r="DR46" s="42">
        <f t="shared" si="52"/>
        <v>0</v>
      </c>
      <c r="DS46" s="42">
        <f t="shared" si="52"/>
        <v>0</v>
      </c>
      <c r="DT46" s="42">
        <f t="shared" si="53"/>
        <v>0</v>
      </c>
      <c r="DU46" s="42">
        <f t="shared" si="53"/>
        <v>0</v>
      </c>
      <c r="DV46" s="42">
        <f t="shared" si="53"/>
        <v>0</v>
      </c>
      <c r="DW46" s="42">
        <f t="shared" si="53"/>
        <v>0</v>
      </c>
      <c r="DX46" s="42">
        <f t="shared" si="53"/>
        <v>0</v>
      </c>
      <c r="DY46" s="42"/>
      <c r="DZ46" s="42">
        <f t="shared" si="54"/>
        <v>66450706</v>
      </c>
      <c r="EB46" s="47">
        <f t="shared" si="15"/>
        <v>175597081</v>
      </c>
      <c r="EC46" s="47">
        <f t="shared" si="16"/>
        <v>175597081</v>
      </c>
      <c r="ED46" s="47">
        <f t="shared" si="17"/>
        <v>175597081</v>
      </c>
    </row>
    <row r="47" spans="1:136" ht="29.4" customHeight="1" x14ac:dyDescent="0.3">
      <c r="A47" s="48"/>
      <c r="B47" s="80"/>
      <c r="C47" s="38" t="s">
        <v>157</v>
      </c>
      <c r="D47" s="50" t="s">
        <v>158</v>
      </c>
      <c r="E47" s="40">
        <v>410</v>
      </c>
      <c r="F47" s="41" t="s">
        <v>139</v>
      </c>
      <c r="G47" s="42">
        <f t="shared" si="42"/>
        <v>0</v>
      </c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3" t="e">
        <f t="shared" si="32"/>
        <v>#DIV/0!</v>
      </c>
      <c r="AF47" s="42">
        <f t="shared" si="43"/>
        <v>0</v>
      </c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3" t="e">
        <f t="shared" si="3"/>
        <v>#DIV/0!</v>
      </c>
      <c r="BE47" s="42">
        <f t="shared" si="44"/>
        <v>0</v>
      </c>
      <c r="BF47" s="42">
        <f t="shared" si="45"/>
        <v>0</v>
      </c>
      <c r="BG47" s="42">
        <f t="shared" si="45"/>
        <v>0</v>
      </c>
      <c r="BH47" s="42">
        <f t="shared" si="45"/>
        <v>0</v>
      </c>
      <c r="BI47" s="42">
        <f t="shared" si="46"/>
        <v>0</v>
      </c>
      <c r="BJ47" s="42">
        <f t="shared" si="47"/>
        <v>0</v>
      </c>
      <c r="BK47" s="42">
        <f t="shared" si="47"/>
        <v>0</v>
      </c>
      <c r="BL47" s="42">
        <f t="shared" si="47"/>
        <v>0</v>
      </c>
      <c r="BM47" s="42">
        <f t="shared" si="47"/>
        <v>0</v>
      </c>
      <c r="BN47" s="42">
        <f t="shared" si="47"/>
        <v>0</v>
      </c>
      <c r="BO47" s="42">
        <f t="shared" si="47"/>
        <v>0</v>
      </c>
      <c r="BP47" s="42">
        <f t="shared" si="47"/>
        <v>0</v>
      </c>
      <c r="BQ47" s="42">
        <f t="shared" si="47"/>
        <v>0</v>
      </c>
      <c r="BR47" s="42">
        <f t="shared" si="47"/>
        <v>0</v>
      </c>
      <c r="BS47" s="42">
        <f t="shared" si="47"/>
        <v>0</v>
      </c>
      <c r="BT47" s="42">
        <f t="shared" si="47"/>
        <v>0</v>
      </c>
      <c r="BU47" s="42">
        <f t="shared" si="47"/>
        <v>0</v>
      </c>
      <c r="BV47" s="42">
        <f t="shared" si="47"/>
        <v>0</v>
      </c>
      <c r="BW47" s="42">
        <f t="shared" si="47"/>
        <v>0</v>
      </c>
      <c r="BX47" s="42">
        <f t="shared" si="47"/>
        <v>0</v>
      </c>
      <c r="BY47" s="42">
        <f t="shared" si="47"/>
        <v>0</v>
      </c>
      <c r="BZ47" s="42">
        <f t="shared" si="48"/>
        <v>0</v>
      </c>
      <c r="CA47" s="42"/>
      <c r="CB47" s="42">
        <f t="shared" si="49"/>
        <v>0</v>
      </c>
      <c r="CC47" s="43" t="e">
        <f t="shared" si="8"/>
        <v>#DIV/0!</v>
      </c>
      <c r="CD47" s="42">
        <f t="shared" si="50"/>
        <v>0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3" t="e">
        <f t="shared" si="10"/>
        <v>#DIV/0!</v>
      </c>
      <c r="DC47" s="42">
        <f t="shared" si="51"/>
        <v>0</v>
      </c>
      <c r="DD47" s="42">
        <f t="shared" si="52"/>
        <v>0</v>
      </c>
      <c r="DE47" s="42">
        <f t="shared" si="52"/>
        <v>0</v>
      </c>
      <c r="DF47" s="42">
        <f t="shared" si="52"/>
        <v>0</v>
      </c>
      <c r="DG47" s="42">
        <f t="shared" si="52"/>
        <v>0</v>
      </c>
      <c r="DH47" s="42">
        <f t="shared" si="52"/>
        <v>0</v>
      </c>
      <c r="DI47" s="42">
        <f t="shared" si="52"/>
        <v>0</v>
      </c>
      <c r="DJ47" s="42">
        <f t="shared" si="52"/>
        <v>0</v>
      </c>
      <c r="DK47" s="42">
        <f t="shared" si="52"/>
        <v>0</v>
      </c>
      <c r="DL47" s="42">
        <f t="shared" si="52"/>
        <v>0</v>
      </c>
      <c r="DM47" s="42">
        <f t="shared" si="52"/>
        <v>0</v>
      </c>
      <c r="DN47" s="42">
        <f t="shared" si="52"/>
        <v>0</v>
      </c>
      <c r="DO47" s="42">
        <f t="shared" si="52"/>
        <v>0</v>
      </c>
      <c r="DP47" s="42">
        <f t="shared" si="52"/>
        <v>0</v>
      </c>
      <c r="DQ47" s="42">
        <f t="shared" si="52"/>
        <v>0</v>
      </c>
      <c r="DR47" s="42">
        <f t="shared" si="52"/>
        <v>0</v>
      </c>
      <c r="DS47" s="42">
        <f t="shared" si="52"/>
        <v>0</v>
      </c>
      <c r="DT47" s="42">
        <f t="shared" si="53"/>
        <v>0</v>
      </c>
      <c r="DU47" s="42">
        <f t="shared" si="53"/>
        <v>0</v>
      </c>
      <c r="DV47" s="42">
        <f t="shared" si="53"/>
        <v>0</v>
      </c>
      <c r="DW47" s="42">
        <f t="shared" si="53"/>
        <v>0</v>
      </c>
      <c r="DX47" s="42">
        <f t="shared" si="53"/>
        <v>0</v>
      </c>
      <c r="DY47" s="42"/>
      <c r="DZ47" s="42">
        <f t="shared" si="54"/>
        <v>0</v>
      </c>
      <c r="EB47" s="47">
        <f t="shared" si="15"/>
        <v>0</v>
      </c>
      <c r="EC47" s="47">
        <f t="shared" si="16"/>
        <v>0</v>
      </c>
      <c r="ED47" s="47">
        <f t="shared" si="17"/>
        <v>0</v>
      </c>
    </row>
    <row r="48" spans="1:136" ht="41.4" customHeight="1" x14ac:dyDescent="0.3">
      <c r="A48" s="48"/>
      <c r="B48" s="80"/>
      <c r="C48" s="38" t="s">
        <v>159</v>
      </c>
      <c r="D48" s="50" t="s">
        <v>160</v>
      </c>
      <c r="E48" s="40">
        <v>410</v>
      </c>
      <c r="F48" s="41" t="s">
        <v>139</v>
      </c>
      <c r="G48" s="42">
        <f t="shared" si="42"/>
        <v>593750584</v>
      </c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>
        <f>20000000</f>
        <v>20000000</v>
      </c>
      <c r="T48" s="42"/>
      <c r="U48" s="42"/>
      <c r="V48" s="42"/>
      <c r="W48" s="42"/>
      <c r="X48" s="42">
        <v>90000000</v>
      </c>
      <c r="Y48" s="42"/>
      <c r="Z48" s="42">
        <v>29997719</v>
      </c>
      <c r="AA48" s="42"/>
      <c r="AB48" s="42">
        <f>91899873+18823995+62217986+22078947+107278029+32084030+88067217+31302788</f>
        <v>453752865</v>
      </c>
      <c r="AC48" s="42"/>
      <c r="AD48" s="42"/>
      <c r="AE48" s="43">
        <f t="shared" si="32"/>
        <v>0.68315113606692468</v>
      </c>
      <c r="AF48" s="42">
        <f t="shared" si="43"/>
        <v>405621386</v>
      </c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>
        <f>+'[7]MAYO 2019'!$T$904</f>
        <v>10000000</v>
      </c>
      <c r="AS48" s="42"/>
      <c r="AT48" s="42"/>
      <c r="AU48" s="42"/>
      <c r="AV48" s="42"/>
      <c r="AW48" s="42">
        <f>+'[10]ENERO 2019'!$Y$443</f>
        <v>90000000</v>
      </c>
      <c r="AX48" s="42"/>
      <c r="AY48" s="42">
        <f>+'[8]AGOSTO 2019'!$AA$1506</f>
        <v>19997719</v>
      </c>
      <c r="AZ48" s="42"/>
      <c r="BA48" s="42">
        <f>+'[3]NOVIEMBRE 2019'!$AD$2202</f>
        <v>285623667</v>
      </c>
      <c r="BB48" s="42"/>
      <c r="BC48" s="42"/>
      <c r="BD48" s="43">
        <f t="shared" si="3"/>
        <v>0.31684886393307532</v>
      </c>
      <c r="BE48" s="42">
        <f t="shared" si="44"/>
        <v>188129198</v>
      </c>
      <c r="BF48" s="42">
        <f t="shared" si="45"/>
        <v>0</v>
      </c>
      <c r="BG48" s="42">
        <f t="shared" si="45"/>
        <v>0</v>
      </c>
      <c r="BH48" s="42">
        <f t="shared" si="45"/>
        <v>0</v>
      </c>
      <c r="BI48" s="42">
        <f t="shared" si="46"/>
        <v>0</v>
      </c>
      <c r="BJ48" s="42">
        <f t="shared" si="47"/>
        <v>0</v>
      </c>
      <c r="BK48" s="42">
        <f t="shared" si="47"/>
        <v>0</v>
      </c>
      <c r="BL48" s="42">
        <f t="shared" si="47"/>
        <v>0</v>
      </c>
      <c r="BM48" s="42">
        <f t="shared" si="47"/>
        <v>0</v>
      </c>
      <c r="BN48" s="42">
        <f t="shared" si="47"/>
        <v>0</v>
      </c>
      <c r="BO48" s="42">
        <f t="shared" si="47"/>
        <v>0</v>
      </c>
      <c r="BP48" s="42">
        <f t="shared" si="47"/>
        <v>0</v>
      </c>
      <c r="BQ48" s="42">
        <f t="shared" si="47"/>
        <v>10000000</v>
      </c>
      <c r="BR48" s="42">
        <f t="shared" si="47"/>
        <v>0</v>
      </c>
      <c r="BS48" s="42">
        <f t="shared" si="47"/>
        <v>0</v>
      </c>
      <c r="BT48" s="42">
        <f t="shared" si="47"/>
        <v>0</v>
      </c>
      <c r="BU48" s="42">
        <f t="shared" si="47"/>
        <v>0</v>
      </c>
      <c r="BV48" s="42">
        <f t="shared" si="47"/>
        <v>0</v>
      </c>
      <c r="BW48" s="42">
        <f t="shared" si="47"/>
        <v>0</v>
      </c>
      <c r="BX48" s="42">
        <f t="shared" si="47"/>
        <v>10000000</v>
      </c>
      <c r="BY48" s="42">
        <f t="shared" si="47"/>
        <v>0</v>
      </c>
      <c r="BZ48" s="42">
        <f t="shared" si="48"/>
        <v>168129198</v>
      </c>
      <c r="CA48" s="42"/>
      <c r="CB48" s="42">
        <f t="shared" si="49"/>
        <v>0</v>
      </c>
      <c r="CC48" s="43">
        <f t="shared" si="8"/>
        <v>0.56499229818020691</v>
      </c>
      <c r="CD48" s="42">
        <f t="shared" si="50"/>
        <v>335464507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>
        <f>+'[8]AGOSTO 2019'!$H$1575</f>
        <v>10000000</v>
      </c>
      <c r="CQ48" s="42"/>
      <c r="CR48" s="42"/>
      <c r="CS48" s="42"/>
      <c r="CT48" s="42"/>
      <c r="CU48" s="42">
        <f>+'[3]NOVIEMBRE 2019'!$H$2203+'[3]NOVIEMBRE 2019'!$H$2214+'[3]NOVIEMBRE 2019'!$Z$2228</f>
        <v>80031559</v>
      </c>
      <c r="CV48" s="42"/>
      <c r="CW48" s="42">
        <f>+'[3]NOVIEMBRE 2019'!$H$2313</f>
        <v>19879424</v>
      </c>
      <c r="CX48" s="42"/>
      <c r="CY48" s="42">
        <f>+'[3]NOVIEMBRE 2019'!$AD$2228-'[3]NOVIEMBRE 2019'!$I$2228+'[3]NOVIEMBRE 2019'!$H$2261+'[3]NOVIEMBRE 2019'!$H$2286+'[3]NOVIEMBRE 2019'!$H$2301+'[3]NOVIEMBRE 2019'!$H$2305</f>
        <v>225553524</v>
      </c>
      <c r="CZ48" s="42"/>
      <c r="DA48" s="42"/>
      <c r="DB48" s="43">
        <f t="shared" si="10"/>
        <v>0.43500770181979309</v>
      </c>
      <c r="DC48" s="42">
        <f t="shared" si="51"/>
        <v>258286077</v>
      </c>
      <c r="DD48" s="42">
        <f t="shared" si="52"/>
        <v>0</v>
      </c>
      <c r="DE48" s="42">
        <f t="shared" si="52"/>
        <v>0</v>
      </c>
      <c r="DF48" s="42">
        <f t="shared" si="52"/>
        <v>0</v>
      </c>
      <c r="DG48" s="42">
        <f t="shared" si="52"/>
        <v>0</v>
      </c>
      <c r="DH48" s="42">
        <f t="shared" si="52"/>
        <v>0</v>
      </c>
      <c r="DI48" s="42">
        <f t="shared" si="52"/>
        <v>0</v>
      </c>
      <c r="DJ48" s="42">
        <f t="shared" si="52"/>
        <v>0</v>
      </c>
      <c r="DK48" s="42">
        <f t="shared" si="52"/>
        <v>0</v>
      </c>
      <c r="DL48" s="42">
        <f t="shared" si="52"/>
        <v>0</v>
      </c>
      <c r="DM48" s="42">
        <f t="shared" si="52"/>
        <v>0</v>
      </c>
      <c r="DN48" s="42">
        <f t="shared" si="52"/>
        <v>0</v>
      </c>
      <c r="DO48" s="42">
        <f t="shared" si="52"/>
        <v>10000000</v>
      </c>
      <c r="DP48" s="42">
        <f t="shared" si="52"/>
        <v>0</v>
      </c>
      <c r="DQ48" s="42">
        <f t="shared" si="52"/>
        <v>0</v>
      </c>
      <c r="DR48" s="42">
        <f t="shared" si="52"/>
        <v>0</v>
      </c>
      <c r="DS48" s="42">
        <f t="shared" si="52"/>
        <v>0</v>
      </c>
      <c r="DT48" s="42">
        <f t="shared" si="53"/>
        <v>9968441</v>
      </c>
      <c r="DU48" s="42">
        <f t="shared" si="53"/>
        <v>0</v>
      </c>
      <c r="DV48" s="42">
        <f t="shared" si="53"/>
        <v>10118295</v>
      </c>
      <c r="DW48" s="42">
        <f t="shared" si="53"/>
        <v>0</v>
      </c>
      <c r="DX48" s="42">
        <f t="shared" si="53"/>
        <v>228199341</v>
      </c>
      <c r="DY48" s="42"/>
      <c r="DZ48" s="42">
        <f t="shared" si="54"/>
        <v>0</v>
      </c>
      <c r="EB48" s="47">
        <f t="shared" si="15"/>
        <v>593750584</v>
      </c>
      <c r="EC48" s="47">
        <f t="shared" si="16"/>
        <v>593750584</v>
      </c>
      <c r="ED48" s="47">
        <f t="shared" si="17"/>
        <v>593750584</v>
      </c>
    </row>
    <row r="49" spans="1:134" ht="31.2" customHeight="1" x14ac:dyDescent="0.3">
      <c r="A49" s="48"/>
      <c r="B49" s="80"/>
      <c r="C49" s="38" t="s">
        <v>161</v>
      </c>
      <c r="D49" s="50" t="s">
        <v>162</v>
      </c>
      <c r="E49" s="40">
        <v>410</v>
      </c>
      <c r="F49" s="41" t="s">
        <v>153</v>
      </c>
      <c r="G49" s="42">
        <f t="shared" si="42"/>
        <v>0</v>
      </c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3" t="e">
        <f t="shared" si="32"/>
        <v>#DIV/0!</v>
      </c>
      <c r="AF49" s="42">
        <f t="shared" si="43"/>
        <v>0</v>
      </c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3" t="e">
        <f t="shared" si="3"/>
        <v>#DIV/0!</v>
      </c>
      <c r="BE49" s="42">
        <f t="shared" si="44"/>
        <v>0</v>
      </c>
      <c r="BF49" s="42">
        <f t="shared" si="45"/>
        <v>0</v>
      </c>
      <c r="BG49" s="42">
        <f t="shared" si="45"/>
        <v>0</v>
      </c>
      <c r="BH49" s="42">
        <f t="shared" si="45"/>
        <v>0</v>
      </c>
      <c r="BI49" s="42">
        <f t="shared" si="46"/>
        <v>0</v>
      </c>
      <c r="BJ49" s="42">
        <f t="shared" si="47"/>
        <v>0</v>
      </c>
      <c r="BK49" s="42">
        <f t="shared" si="47"/>
        <v>0</v>
      </c>
      <c r="BL49" s="42">
        <f t="shared" si="47"/>
        <v>0</v>
      </c>
      <c r="BM49" s="42">
        <f t="shared" si="47"/>
        <v>0</v>
      </c>
      <c r="BN49" s="42">
        <f t="shared" si="47"/>
        <v>0</v>
      </c>
      <c r="BO49" s="42">
        <f t="shared" si="47"/>
        <v>0</v>
      </c>
      <c r="BP49" s="42">
        <f t="shared" si="47"/>
        <v>0</v>
      </c>
      <c r="BQ49" s="42">
        <f t="shared" si="47"/>
        <v>0</v>
      </c>
      <c r="BR49" s="42">
        <f t="shared" si="47"/>
        <v>0</v>
      </c>
      <c r="BS49" s="42">
        <f t="shared" si="47"/>
        <v>0</v>
      </c>
      <c r="BT49" s="42">
        <f t="shared" si="47"/>
        <v>0</v>
      </c>
      <c r="BU49" s="42">
        <f t="shared" si="47"/>
        <v>0</v>
      </c>
      <c r="BV49" s="42">
        <f t="shared" si="47"/>
        <v>0</v>
      </c>
      <c r="BW49" s="42">
        <f t="shared" si="47"/>
        <v>0</v>
      </c>
      <c r="BX49" s="42">
        <f t="shared" si="47"/>
        <v>0</v>
      </c>
      <c r="BY49" s="42">
        <f t="shared" si="47"/>
        <v>0</v>
      </c>
      <c r="BZ49" s="42">
        <f t="shared" si="48"/>
        <v>0</v>
      </c>
      <c r="CA49" s="42"/>
      <c r="CB49" s="42">
        <f t="shared" si="49"/>
        <v>0</v>
      </c>
      <c r="CC49" s="43" t="e">
        <f t="shared" si="8"/>
        <v>#DIV/0!</v>
      </c>
      <c r="CD49" s="42">
        <f t="shared" si="50"/>
        <v>0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3" t="e">
        <f t="shared" si="10"/>
        <v>#DIV/0!</v>
      </c>
      <c r="DC49" s="42">
        <f t="shared" si="51"/>
        <v>0</v>
      </c>
      <c r="DD49" s="42">
        <f t="shared" si="52"/>
        <v>0</v>
      </c>
      <c r="DE49" s="42">
        <f t="shared" si="52"/>
        <v>0</v>
      </c>
      <c r="DF49" s="42">
        <f t="shared" si="52"/>
        <v>0</v>
      </c>
      <c r="DG49" s="42">
        <f t="shared" si="52"/>
        <v>0</v>
      </c>
      <c r="DH49" s="42">
        <f t="shared" si="52"/>
        <v>0</v>
      </c>
      <c r="DI49" s="42">
        <f t="shared" si="52"/>
        <v>0</v>
      </c>
      <c r="DJ49" s="42">
        <f t="shared" si="52"/>
        <v>0</v>
      </c>
      <c r="DK49" s="42">
        <f t="shared" si="52"/>
        <v>0</v>
      </c>
      <c r="DL49" s="42">
        <f t="shared" si="52"/>
        <v>0</v>
      </c>
      <c r="DM49" s="42">
        <f t="shared" si="52"/>
        <v>0</v>
      </c>
      <c r="DN49" s="42">
        <f t="shared" si="52"/>
        <v>0</v>
      </c>
      <c r="DO49" s="42">
        <f t="shared" si="52"/>
        <v>0</v>
      </c>
      <c r="DP49" s="42">
        <f t="shared" si="52"/>
        <v>0</v>
      </c>
      <c r="DQ49" s="42">
        <f t="shared" si="52"/>
        <v>0</v>
      </c>
      <c r="DR49" s="42">
        <f t="shared" si="52"/>
        <v>0</v>
      </c>
      <c r="DS49" s="42">
        <f t="shared" si="52"/>
        <v>0</v>
      </c>
      <c r="DT49" s="42">
        <f t="shared" si="53"/>
        <v>0</v>
      </c>
      <c r="DU49" s="42">
        <f t="shared" si="53"/>
        <v>0</v>
      </c>
      <c r="DV49" s="42">
        <f t="shared" si="53"/>
        <v>0</v>
      </c>
      <c r="DW49" s="42">
        <f t="shared" si="53"/>
        <v>0</v>
      </c>
      <c r="DX49" s="42">
        <f t="shared" si="53"/>
        <v>0</v>
      </c>
      <c r="DY49" s="42"/>
      <c r="DZ49" s="42">
        <f t="shared" si="54"/>
        <v>0</v>
      </c>
      <c r="EB49" s="47">
        <f t="shared" si="15"/>
        <v>0</v>
      </c>
      <c r="EC49" s="47">
        <f t="shared" si="16"/>
        <v>0</v>
      </c>
      <c r="ED49" s="47">
        <f t="shared" si="17"/>
        <v>0</v>
      </c>
    </row>
    <row r="50" spans="1:134" ht="19.8" customHeight="1" x14ac:dyDescent="0.3">
      <c r="A50" s="48"/>
      <c r="B50" s="80"/>
      <c r="C50" s="38" t="s">
        <v>163</v>
      </c>
      <c r="D50" s="50" t="s">
        <v>164</v>
      </c>
      <c r="E50" s="40">
        <v>410</v>
      </c>
      <c r="F50" s="41" t="s">
        <v>165</v>
      </c>
      <c r="G50" s="42">
        <f t="shared" si="42"/>
        <v>106000000</v>
      </c>
      <c r="H50" s="42"/>
      <c r="I50" s="42"/>
      <c r="J50" s="42"/>
      <c r="K50" s="42"/>
      <c r="L50" s="42"/>
      <c r="M50" s="42"/>
      <c r="N50" s="42"/>
      <c r="O50" s="42">
        <f>40000000-15000000-17000000</f>
        <v>8000000</v>
      </c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>
        <f>88000000+25000000-15000000</f>
        <v>98000000</v>
      </c>
      <c r="AE50" s="43">
        <f t="shared" si="32"/>
        <v>0.54527570754716981</v>
      </c>
      <c r="AF50" s="42">
        <f t="shared" si="43"/>
        <v>57799225</v>
      </c>
      <c r="AG50" s="42"/>
      <c r="AH50" s="42"/>
      <c r="AI50" s="42"/>
      <c r="AJ50" s="42"/>
      <c r="AK50" s="42"/>
      <c r="AL50" s="42"/>
      <c r="AM50" s="42"/>
      <c r="AN50" s="42">
        <f>+'[3]NOVIEMBRE 2019'!$Q$2334</f>
        <v>4000000</v>
      </c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>
        <f>+'[1]OCTUBRE 2019'!$AG$2119</f>
        <v>53799225</v>
      </c>
      <c r="BD50" s="43">
        <f t="shared" si="3"/>
        <v>0.45472429245283019</v>
      </c>
      <c r="BE50" s="42">
        <f t="shared" si="44"/>
        <v>48200775</v>
      </c>
      <c r="BF50" s="42">
        <f t="shared" si="45"/>
        <v>0</v>
      </c>
      <c r="BG50" s="42">
        <f t="shared" si="45"/>
        <v>0</v>
      </c>
      <c r="BH50" s="42">
        <f t="shared" si="45"/>
        <v>0</v>
      </c>
      <c r="BI50" s="42">
        <f t="shared" si="46"/>
        <v>0</v>
      </c>
      <c r="BJ50" s="42">
        <f t="shared" si="47"/>
        <v>0</v>
      </c>
      <c r="BK50" s="42">
        <f t="shared" si="47"/>
        <v>0</v>
      </c>
      <c r="BL50" s="42">
        <f t="shared" si="47"/>
        <v>0</v>
      </c>
      <c r="BM50" s="42">
        <f t="shared" si="47"/>
        <v>4000000</v>
      </c>
      <c r="BN50" s="42">
        <f t="shared" si="47"/>
        <v>0</v>
      </c>
      <c r="BO50" s="42">
        <f t="shared" si="47"/>
        <v>0</v>
      </c>
      <c r="BP50" s="42">
        <f t="shared" si="47"/>
        <v>0</v>
      </c>
      <c r="BQ50" s="42">
        <f t="shared" si="47"/>
        <v>0</v>
      </c>
      <c r="BR50" s="42">
        <f t="shared" si="47"/>
        <v>0</v>
      </c>
      <c r="BS50" s="42">
        <f t="shared" si="47"/>
        <v>0</v>
      </c>
      <c r="BT50" s="42">
        <f t="shared" si="47"/>
        <v>0</v>
      </c>
      <c r="BU50" s="42">
        <f t="shared" si="47"/>
        <v>0</v>
      </c>
      <c r="BV50" s="42">
        <f t="shared" si="47"/>
        <v>0</v>
      </c>
      <c r="BW50" s="42">
        <f t="shared" si="47"/>
        <v>0</v>
      </c>
      <c r="BX50" s="42">
        <f t="shared" si="47"/>
        <v>0</v>
      </c>
      <c r="BY50" s="42">
        <f t="shared" si="47"/>
        <v>0</v>
      </c>
      <c r="BZ50" s="42">
        <f t="shared" si="48"/>
        <v>0</v>
      </c>
      <c r="CA50" s="42"/>
      <c r="CB50" s="42">
        <f t="shared" si="49"/>
        <v>44200775</v>
      </c>
      <c r="CC50" s="43">
        <f t="shared" si="8"/>
        <v>0.52640778301886793</v>
      </c>
      <c r="CD50" s="42">
        <f t="shared" si="50"/>
        <v>55799225</v>
      </c>
      <c r="CE50" s="42"/>
      <c r="CF50" s="42"/>
      <c r="CG50" s="42"/>
      <c r="CH50" s="42"/>
      <c r="CI50" s="42"/>
      <c r="CJ50" s="42"/>
      <c r="CK50" s="42"/>
      <c r="CL50" s="42">
        <f>+'[3]NOVIEMBRE 2019'!$H$2372</f>
        <v>2000000</v>
      </c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>
        <f>+'[3]NOVIEMBRE 2019'!$H$2335+'[3]NOVIEMBRE 2019'!$H$2337+'[3]NOVIEMBRE 2019'!$H$2339+'[3]NOVIEMBRE 2019'!$H$2342+'[3]NOVIEMBRE 2019'!$H$2345+'[3]NOVIEMBRE 2019'!$H$2346+'[3]NOVIEMBRE 2019'!$H$2347+'[3]NOVIEMBRE 2019'!$H$2348+'[3]NOVIEMBRE 2019'!$H$2349+'[3]NOVIEMBRE 2019'!$H$2350+'[3]NOVIEMBRE 2019'!$H$2355+'[3]NOVIEMBRE 2019'!$H$2358+'[3]NOVIEMBRE 2019'!$H$2361+'[3]NOVIEMBRE 2019'!$H$2363+'[3]NOVIEMBRE 2019'!$H$2366+'[3]NOVIEMBRE 2019'!$H$2369+'[3]NOVIEMBRE 2019'!$H$2371+'[3]NOVIEMBRE 2019'!$H$2376+'[3]NOVIEMBRE 2019'!$H$2377</f>
        <v>53799225</v>
      </c>
      <c r="DB50" s="43">
        <f t="shared" si="10"/>
        <v>0.47359221698113207</v>
      </c>
      <c r="DC50" s="42">
        <f t="shared" si="51"/>
        <v>50200775</v>
      </c>
      <c r="DD50" s="42">
        <f t="shared" si="52"/>
        <v>0</v>
      </c>
      <c r="DE50" s="42">
        <f t="shared" si="52"/>
        <v>0</v>
      </c>
      <c r="DF50" s="42">
        <f t="shared" si="52"/>
        <v>0</v>
      </c>
      <c r="DG50" s="42">
        <f t="shared" si="52"/>
        <v>0</v>
      </c>
      <c r="DH50" s="42">
        <f t="shared" si="52"/>
        <v>0</v>
      </c>
      <c r="DI50" s="42">
        <f t="shared" si="52"/>
        <v>0</v>
      </c>
      <c r="DJ50" s="42">
        <f t="shared" si="52"/>
        <v>0</v>
      </c>
      <c r="DK50" s="42">
        <f t="shared" si="52"/>
        <v>6000000</v>
      </c>
      <c r="DL50" s="42">
        <f t="shared" si="52"/>
        <v>0</v>
      </c>
      <c r="DM50" s="42">
        <f t="shared" si="52"/>
        <v>0</v>
      </c>
      <c r="DN50" s="42">
        <f t="shared" si="52"/>
        <v>0</v>
      </c>
      <c r="DO50" s="42">
        <f t="shared" si="52"/>
        <v>0</v>
      </c>
      <c r="DP50" s="42">
        <f t="shared" si="52"/>
        <v>0</v>
      </c>
      <c r="DQ50" s="42">
        <f t="shared" si="52"/>
        <v>0</v>
      </c>
      <c r="DR50" s="42">
        <f t="shared" si="52"/>
        <v>0</v>
      </c>
      <c r="DS50" s="42">
        <f t="shared" si="52"/>
        <v>0</v>
      </c>
      <c r="DT50" s="42">
        <f t="shared" si="53"/>
        <v>0</v>
      </c>
      <c r="DU50" s="42">
        <f t="shared" si="53"/>
        <v>0</v>
      </c>
      <c r="DV50" s="42">
        <f t="shared" si="53"/>
        <v>0</v>
      </c>
      <c r="DW50" s="42">
        <f t="shared" si="53"/>
        <v>0</v>
      </c>
      <c r="DX50" s="42">
        <f t="shared" si="53"/>
        <v>0</v>
      </c>
      <c r="DY50" s="42"/>
      <c r="DZ50" s="42">
        <f t="shared" si="54"/>
        <v>44200775</v>
      </c>
      <c r="EB50" s="47">
        <f t="shared" si="15"/>
        <v>106000000</v>
      </c>
      <c r="EC50" s="47">
        <f t="shared" si="16"/>
        <v>106000000</v>
      </c>
      <c r="ED50" s="47">
        <f t="shared" si="17"/>
        <v>106000000</v>
      </c>
    </row>
    <row r="51" spans="1:134" ht="32.25" customHeight="1" x14ac:dyDescent="0.3">
      <c r="A51" s="48"/>
      <c r="B51" s="53"/>
      <c r="C51" s="38" t="s">
        <v>166</v>
      </c>
      <c r="D51" s="50" t="s">
        <v>167</v>
      </c>
      <c r="E51" s="40">
        <v>410</v>
      </c>
      <c r="F51" s="60" t="s">
        <v>139</v>
      </c>
      <c r="G51" s="42">
        <f t="shared" si="42"/>
        <v>6000000</v>
      </c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>
        <f>6000000</f>
        <v>6000000</v>
      </c>
      <c r="AA51" s="42"/>
      <c r="AB51" s="42"/>
      <c r="AC51" s="42"/>
      <c r="AD51" s="42"/>
      <c r="AE51" s="43">
        <f t="shared" si="32"/>
        <v>0.44443250000000001</v>
      </c>
      <c r="AF51" s="42">
        <f t="shared" si="43"/>
        <v>2666595</v>
      </c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>
        <f>+'[1]OCTUBRE 2019'!$AB$2167</f>
        <v>2666595</v>
      </c>
      <c r="AZ51" s="42"/>
      <c r="BA51" s="42"/>
      <c r="BB51" s="42"/>
      <c r="BC51" s="42"/>
      <c r="BD51" s="43">
        <f t="shared" si="3"/>
        <v>0.55556749999999999</v>
      </c>
      <c r="BE51" s="42">
        <f t="shared" si="44"/>
        <v>3333405</v>
      </c>
      <c r="BF51" s="42">
        <f t="shared" si="45"/>
        <v>0</v>
      </c>
      <c r="BG51" s="42">
        <f t="shared" si="45"/>
        <v>0</v>
      </c>
      <c r="BH51" s="42">
        <f t="shared" si="45"/>
        <v>0</v>
      </c>
      <c r="BI51" s="42">
        <f t="shared" si="46"/>
        <v>0</v>
      </c>
      <c r="BJ51" s="42">
        <f t="shared" si="47"/>
        <v>0</v>
      </c>
      <c r="BK51" s="42">
        <f t="shared" si="47"/>
        <v>0</v>
      </c>
      <c r="BL51" s="42">
        <f t="shared" si="47"/>
        <v>0</v>
      </c>
      <c r="BM51" s="42">
        <f t="shared" si="47"/>
        <v>0</v>
      </c>
      <c r="BN51" s="42">
        <f t="shared" si="47"/>
        <v>0</v>
      </c>
      <c r="BO51" s="42">
        <f t="shared" si="47"/>
        <v>0</v>
      </c>
      <c r="BP51" s="42">
        <f t="shared" si="47"/>
        <v>0</v>
      </c>
      <c r="BQ51" s="42">
        <f t="shared" si="47"/>
        <v>0</v>
      </c>
      <c r="BR51" s="42">
        <f t="shared" si="47"/>
        <v>0</v>
      </c>
      <c r="BS51" s="42">
        <f t="shared" si="47"/>
        <v>0</v>
      </c>
      <c r="BT51" s="42">
        <f t="shared" si="47"/>
        <v>0</v>
      </c>
      <c r="BU51" s="42">
        <f t="shared" si="47"/>
        <v>0</v>
      </c>
      <c r="BV51" s="42">
        <f t="shared" si="47"/>
        <v>0</v>
      </c>
      <c r="BW51" s="42">
        <f t="shared" si="47"/>
        <v>0</v>
      </c>
      <c r="BX51" s="42">
        <f t="shared" si="47"/>
        <v>3333405</v>
      </c>
      <c r="BY51" s="42">
        <f t="shared" si="47"/>
        <v>0</v>
      </c>
      <c r="BZ51" s="42">
        <f t="shared" si="48"/>
        <v>0</v>
      </c>
      <c r="CA51" s="42"/>
      <c r="CB51" s="42">
        <f t="shared" si="49"/>
        <v>0</v>
      </c>
      <c r="CC51" s="43">
        <f t="shared" si="8"/>
        <v>0.44443250000000001</v>
      </c>
      <c r="CD51" s="42">
        <f t="shared" si="50"/>
        <v>2666595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>
        <f>+'[1]OCTUBRE 2019'!$H$2165</f>
        <v>2666595</v>
      </c>
      <c r="CX51" s="42"/>
      <c r="CY51" s="42"/>
      <c r="CZ51" s="42"/>
      <c r="DA51" s="42"/>
      <c r="DB51" s="43">
        <f t="shared" si="10"/>
        <v>0.55556749999999999</v>
      </c>
      <c r="DC51" s="42">
        <f t="shared" si="51"/>
        <v>3333405</v>
      </c>
      <c r="DD51" s="42">
        <f t="shared" si="52"/>
        <v>0</v>
      </c>
      <c r="DE51" s="42">
        <f t="shared" si="52"/>
        <v>0</v>
      </c>
      <c r="DF51" s="42">
        <f t="shared" si="52"/>
        <v>0</v>
      </c>
      <c r="DG51" s="42">
        <f t="shared" si="52"/>
        <v>0</v>
      </c>
      <c r="DH51" s="42">
        <f t="shared" si="52"/>
        <v>0</v>
      </c>
      <c r="DI51" s="42">
        <f t="shared" si="52"/>
        <v>0</v>
      </c>
      <c r="DJ51" s="42">
        <f t="shared" si="52"/>
        <v>0</v>
      </c>
      <c r="DK51" s="42">
        <f t="shared" si="52"/>
        <v>0</v>
      </c>
      <c r="DL51" s="42">
        <f t="shared" si="52"/>
        <v>0</v>
      </c>
      <c r="DM51" s="42">
        <f t="shared" si="52"/>
        <v>0</v>
      </c>
      <c r="DN51" s="42">
        <f t="shared" si="52"/>
        <v>0</v>
      </c>
      <c r="DO51" s="42">
        <f t="shared" si="52"/>
        <v>0</v>
      </c>
      <c r="DP51" s="42">
        <f t="shared" si="52"/>
        <v>0</v>
      </c>
      <c r="DQ51" s="42">
        <f t="shared" si="52"/>
        <v>0</v>
      </c>
      <c r="DR51" s="42">
        <f t="shared" si="52"/>
        <v>0</v>
      </c>
      <c r="DS51" s="42">
        <f t="shared" si="52"/>
        <v>0</v>
      </c>
      <c r="DT51" s="42">
        <f t="shared" si="53"/>
        <v>0</v>
      </c>
      <c r="DU51" s="42">
        <f t="shared" si="53"/>
        <v>0</v>
      </c>
      <c r="DV51" s="42">
        <f t="shared" si="53"/>
        <v>3333405</v>
      </c>
      <c r="DW51" s="42">
        <f t="shared" si="53"/>
        <v>0</v>
      </c>
      <c r="DX51" s="42">
        <f t="shared" si="53"/>
        <v>0</v>
      </c>
      <c r="DY51" s="42"/>
      <c r="DZ51" s="42">
        <f t="shared" si="54"/>
        <v>0</v>
      </c>
      <c r="EB51" s="47">
        <f t="shared" si="15"/>
        <v>6000000</v>
      </c>
      <c r="EC51" s="47">
        <f t="shared" si="16"/>
        <v>6000000</v>
      </c>
      <c r="ED51" s="47">
        <f t="shared" si="17"/>
        <v>6000000</v>
      </c>
    </row>
    <row r="52" spans="1:134" ht="31.2" customHeight="1" x14ac:dyDescent="0.3">
      <c r="A52" s="48"/>
      <c r="B52" s="53"/>
      <c r="C52" s="38" t="s">
        <v>168</v>
      </c>
      <c r="D52" s="50" t="s">
        <v>169</v>
      </c>
      <c r="E52" s="40">
        <v>410</v>
      </c>
      <c r="F52" s="60" t="s">
        <v>139</v>
      </c>
      <c r="G52" s="42">
        <f t="shared" si="42"/>
        <v>24000000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>
        <f>24000000</f>
        <v>24000000</v>
      </c>
      <c r="AA52" s="42"/>
      <c r="AB52" s="42"/>
      <c r="AC52" s="42"/>
      <c r="AD52" s="42"/>
      <c r="AE52" s="43">
        <f t="shared" si="32"/>
        <v>0.39101124999999998</v>
      </c>
      <c r="AF52" s="42">
        <f t="shared" si="43"/>
        <v>9384270</v>
      </c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>
        <f>+'[3]NOVIEMBRE 2019'!$AB$2391</f>
        <v>9384270</v>
      </c>
      <c r="AZ52" s="42"/>
      <c r="BA52" s="42"/>
      <c r="BB52" s="42"/>
      <c r="BC52" s="42"/>
      <c r="BD52" s="43">
        <f t="shared" si="3"/>
        <v>0.60898874999999997</v>
      </c>
      <c r="BE52" s="42">
        <f t="shared" si="44"/>
        <v>14615730</v>
      </c>
      <c r="BF52" s="42">
        <f t="shared" si="45"/>
        <v>0</v>
      </c>
      <c r="BG52" s="42">
        <f t="shared" si="45"/>
        <v>0</v>
      </c>
      <c r="BH52" s="42">
        <f t="shared" si="45"/>
        <v>0</v>
      </c>
      <c r="BI52" s="42">
        <f t="shared" si="46"/>
        <v>0</v>
      </c>
      <c r="BJ52" s="42">
        <f t="shared" si="47"/>
        <v>0</v>
      </c>
      <c r="BK52" s="42">
        <f t="shared" si="47"/>
        <v>0</v>
      </c>
      <c r="BL52" s="42">
        <f t="shared" si="47"/>
        <v>0</v>
      </c>
      <c r="BM52" s="42">
        <f t="shared" si="47"/>
        <v>0</v>
      </c>
      <c r="BN52" s="42">
        <f t="shared" si="47"/>
        <v>0</v>
      </c>
      <c r="BO52" s="42">
        <f t="shared" si="47"/>
        <v>0</v>
      </c>
      <c r="BP52" s="42">
        <f t="shared" si="47"/>
        <v>0</v>
      </c>
      <c r="BQ52" s="42">
        <f t="shared" si="47"/>
        <v>0</v>
      </c>
      <c r="BR52" s="42">
        <f t="shared" si="47"/>
        <v>0</v>
      </c>
      <c r="BS52" s="42">
        <f t="shared" si="47"/>
        <v>0</v>
      </c>
      <c r="BT52" s="42">
        <f t="shared" si="47"/>
        <v>0</v>
      </c>
      <c r="BU52" s="42">
        <f t="shared" si="47"/>
        <v>0</v>
      </c>
      <c r="BV52" s="42">
        <f t="shared" si="47"/>
        <v>0</v>
      </c>
      <c r="BW52" s="42">
        <f t="shared" si="47"/>
        <v>0</v>
      </c>
      <c r="BX52" s="42">
        <f t="shared" si="47"/>
        <v>14615730</v>
      </c>
      <c r="BY52" s="42">
        <f t="shared" si="47"/>
        <v>0</v>
      </c>
      <c r="BZ52" s="42">
        <f t="shared" si="48"/>
        <v>0</v>
      </c>
      <c r="CA52" s="42"/>
      <c r="CB52" s="42">
        <f t="shared" si="49"/>
        <v>0</v>
      </c>
      <c r="CC52" s="43">
        <f t="shared" si="8"/>
        <v>0.34101124999999999</v>
      </c>
      <c r="CD52" s="42">
        <f t="shared" si="50"/>
        <v>8184270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>
        <f>+'[3]NOVIEMBRE 2019'!$H$2389</f>
        <v>8184270</v>
      </c>
      <c r="CX52" s="42"/>
      <c r="CY52" s="42"/>
      <c r="CZ52" s="42"/>
      <c r="DA52" s="42"/>
      <c r="DB52" s="43">
        <f t="shared" si="10"/>
        <v>0.65898875000000001</v>
      </c>
      <c r="DC52" s="42">
        <f t="shared" si="51"/>
        <v>15815730</v>
      </c>
      <c r="DD52" s="42">
        <f t="shared" si="52"/>
        <v>0</v>
      </c>
      <c r="DE52" s="42">
        <f t="shared" si="52"/>
        <v>0</v>
      </c>
      <c r="DF52" s="42">
        <f t="shared" si="52"/>
        <v>0</v>
      </c>
      <c r="DG52" s="42">
        <f t="shared" si="52"/>
        <v>0</v>
      </c>
      <c r="DH52" s="42">
        <f t="shared" si="52"/>
        <v>0</v>
      </c>
      <c r="DI52" s="42">
        <f t="shared" si="52"/>
        <v>0</v>
      </c>
      <c r="DJ52" s="42">
        <f t="shared" si="52"/>
        <v>0</v>
      </c>
      <c r="DK52" s="42">
        <f t="shared" si="52"/>
        <v>0</v>
      </c>
      <c r="DL52" s="42">
        <f t="shared" si="52"/>
        <v>0</v>
      </c>
      <c r="DM52" s="42">
        <f t="shared" si="52"/>
        <v>0</v>
      </c>
      <c r="DN52" s="42">
        <f t="shared" si="52"/>
        <v>0</v>
      </c>
      <c r="DO52" s="42">
        <f t="shared" si="52"/>
        <v>0</v>
      </c>
      <c r="DP52" s="42">
        <f t="shared" si="52"/>
        <v>0</v>
      </c>
      <c r="DQ52" s="42">
        <f t="shared" si="52"/>
        <v>0</v>
      </c>
      <c r="DR52" s="42">
        <f t="shared" si="52"/>
        <v>0</v>
      </c>
      <c r="DS52" s="42">
        <f t="shared" si="52"/>
        <v>0</v>
      </c>
      <c r="DT52" s="42">
        <f t="shared" si="53"/>
        <v>0</v>
      </c>
      <c r="DU52" s="42">
        <f t="shared" si="53"/>
        <v>0</v>
      </c>
      <c r="DV52" s="42">
        <f t="shared" si="53"/>
        <v>15815730</v>
      </c>
      <c r="DW52" s="42">
        <f t="shared" si="53"/>
        <v>0</v>
      </c>
      <c r="DX52" s="42">
        <f t="shared" si="53"/>
        <v>0</v>
      </c>
      <c r="DY52" s="42"/>
      <c r="DZ52" s="42">
        <f t="shared" si="54"/>
        <v>0</v>
      </c>
      <c r="EB52" s="47">
        <f t="shared" si="15"/>
        <v>24000000</v>
      </c>
      <c r="EC52" s="47">
        <f t="shared" si="16"/>
        <v>24000000</v>
      </c>
      <c r="ED52" s="47">
        <f t="shared" si="17"/>
        <v>24000000</v>
      </c>
    </row>
    <row r="53" spans="1:134" ht="27.6" customHeight="1" x14ac:dyDescent="0.3">
      <c r="A53" s="48"/>
      <c r="B53" s="53"/>
      <c r="C53" s="38" t="s">
        <v>170</v>
      </c>
      <c r="D53" s="50" t="s">
        <v>171</v>
      </c>
      <c r="E53" s="40">
        <v>410</v>
      </c>
      <c r="F53" s="60" t="s">
        <v>139</v>
      </c>
      <c r="G53" s="42">
        <f t="shared" si="42"/>
        <v>17000000</v>
      </c>
      <c r="H53" s="42"/>
      <c r="I53" s="42"/>
      <c r="J53" s="42"/>
      <c r="K53" s="42"/>
      <c r="L53" s="42"/>
      <c r="M53" s="42"/>
      <c r="N53" s="42"/>
      <c r="O53" s="42">
        <v>17000000</v>
      </c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3">
        <f t="shared" si="32"/>
        <v>0.34</v>
      </c>
      <c r="AF53" s="42">
        <f t="shared" si="43"/>
        <v>5780000</v>
      </c>
      <c r="AG53" s="42"/>
      <c r="AH53" s="42"/>
      <c r="AI53" s="42"/>
      <c r="AJ53" s="42"/>
      <c r="AK53" s="42"/>
      <c r="AL53" s="42"/>
      <c r="AM53" s="42"/>
      <c r="AN53" s="42">
        <f>+'[3]NOVIEMBRE 2019'!$Q$2406</f>
        <v>5780000</v>
      </c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3">
        <f t="shared" si="3"/>
        <v>0.65999999999999992</v>
      </c>
      <c r="BE53" s="42">
        <f t="shared" si="44"/>
        <v>11220000</v>
      </c>
      <c r="BF53" s="42">
        <f t="shared" si="45"/>
        <v>0</v>
      </c>
      <c r="BG53" s="42">
        <f t="shared" si="45"/>
        <v>0</v>
      </c>
      <c r="BH53" s="42">
        <f t="shared" si="45"/>
        <v>0</v>
      </c>
      <c r="BI53" s="42">
        <f t="shared" si="46"/>
        <v>0</v>
      </c>
      <c r="BJ53" s="42">
        <f t="shared" si="47"/>
        <v>0</v>
      </c>
      <c r="BK53" s="42">
        <f t="shared" si="47"/>
        <v>0</v>
      </c>
      <c r="BL53" s="42">
        <f t="shared" si="47"/>
        <v>0</v>
      </c>
      <c r="BM53" s="42">
        <f t="shared" si="47"/>
        <v>11220000</v>
      </c>
      <c r="BN53" s="42">
        <f t="shared" si="47"/>
        <v>0</v>
      </c>
      <c r="BO53" s="42">
        <f t="shared" si="47"/>
        <v>0</v>
      </c>
      <c r="BP53" s="42">
        <f t="shared" si="47"/>
        <v>0</v>
      </c>
      <c r="BQ53" s="42">
        <f t="shared" si="47"/>
        <v>0</v>
      </c>
      <c r="BR53" s="42">
        <f t="shared" si="47"/>
        <v>0</v>
      </c>
      <c r="BS53" s="42">
        <f t="shared" si="47"/>
        <v>0</v>
      </c>
      <c r="BT53" s="42">
        <f t="shared" si="47"/>
        <v>0</v>
      </c>
      <c r="BU53" s="42">
        <f t="shared" si="47"/>
        <v>0</v>
      </c>
      <c r="BV53" s="42">
        <f t="shared" si="47"/>
        <v>0</v>
      </c>
      <c r="BW53" s="42">
        <f t="shared" si="47"/>
        <v>0</v>
      </c>
      <c r="BX53" s="42">
        <f t="shared" si="47"/>
        <v>0</v>
      </c>
      <c r="BY53" s="42">
        <f t="shared" si="47"/>
        <v>0</v>
      </c>
      <c r="BZ53" s="42">
        <f t="shared" si="48"/>
        <v>0</v>
      </c>
      <c r="CA53" s="42"/>
      <c r="CB53" s="42">
        <f t="shared" si="49"/>
        <v>0</v>
      </c>
      <c r="CC53" s="43">
        <f t="shared" si="8"/>
        <v>0.29882352941176471</v>
      </c>
      <c r="CD53" s="42">
        <f t="shared" si="50"/>
        <v>5080000</v>
      </c>
      <c r="CE53" s="42"/>
      <c r="CF53" s="42"/>
      <c r="CG53" s="42"/>
      <c r="CH53" s="42"/>
      <c r="CI53" s="42"/>
      <c r="CJ53" s="42"/>
      <c r="CK53" s="42"/>
      <c r="CL53" s="42">
        <f>+'[3]NOVIEMBRE 2019'!$H$2404</f>
        <v>5080000</v>
      </c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3">
        <f t="shared" si="10"/>
        <v>0.70117647058823529</v>
      </c>
      <c r="DC53" s="42">
        <f t="shared" si="51"/>
        <v>11920000</v>
      </c>
      <c r="DD53" s="42">
        <f t="shared" si="52"/>
        <v>0</v>
      </c>
      <c r="DE53" s="42">
        <f t="shared" si="52"/>
        <v>0</v>
      </c>
      <c r="DF53" s="42">
        <f t="shared" si="52"/>
        <v>0</v>
      </c>
      <c r="DG53" s="42">
        <f t="shared" si="52"/>
        <v>0</v>
      </c>
      <c r="DH53" s="42">
        <f t="shared" si="52"/>
        <v>0</v>
      </c>
      <c r="DI53" s="42">
        <f t="shared" si="52"/>
        <v>0</v>
      </c>
      <c r="DJ53" s="42">
        <f t="shared" si="52"/>
        <v>0</v>
      </c>
      <c r="DK53" s="42">
        <f t="shared" si="52"/>
        <v>11920000</v>
      </c>
      <c r="DL53" s="42">
        <f t="shared" si="52"/>
        <v>0</v>
      </c>
      <c r="DM53" s="42">
        <f t="shared" si="52"/>
        <v>0</v>
      </c>
      <c r="DN53" s="42">
        <f t="shared" si="52"/>
        <v>0</v>
      </c>
      <c r="DO53" s="42">
        <f t="shared" si="52"/>
        <v>0</v>
      </c>
      <c r="DP53" s="42">
        <f t="shared" si="52"/>
        <v>0</v>
      </c>
      <c r="DQ53" s="42">
        <f t="shared" si="52"/>
        <v>0</v>
      </c>
      <c r="DR53" s="42">
        <f t="shared" si="52"/>
        <v>0</v>
      </c>
      <c r="DS53" s="42">
        <f t="shared" si="52"/>
        <v>0</v>
      </c>
      <c r="DT53" s="42">
        <f t="shared" si="53"/>
        <v>0</v>
      </c>
      <c r="DU53" s="42">
        <f t="shared" si="53"/>
        <v>0</v>
      </c>
      <c r="DV53" s="42">
        <f t="shared" si="53"/>
        <v>0</v>
      </c>
      <c r="DW53" s="42">
        <f t="shared" si="53"/>
        <v>0</v>
      </c>
      <c r="DX53" s="42">
        <f t="shared" si="53"/>
        <v>0</v>
      </c>
      <c r="DY53" s="42"/>
      <c r="DZ53" s="42">
        <f t="shared" si="54"/>
        <v>0</v>
      </c>
      <c r="EB53" s="47">
        <f t="shared" si="15"/>
        <v>17000000</v>
      </c>
      <c r="EC53" s="47">
        <f t="shared" si="16"/>
        <v>17000000</v>
      </c>
      <c r="ED53" s="47">
        <f t="shared" si="17"/>
        <v>17000000</v>
      </c>
    </row>
    <row r="54" spans="1:134" ht="27.6" customHeight="1" x14ac:dyDescent="0.3">
      <c r="A54" s="48"/>
      <c r="B54" s="53"/>
      <c r="C54" s="38" t="s">
        <v>172</v>
      </c>
      <c r="D54" s="50" t="s">
        <v>173</v>
      </c>
      <c r="E54" s="40">
        <v>410</v>
      </c>
      <c r="F54" s="60" t="s">
        <v>139</v>
      </c>
      <c r="G54" s="42">
        <f t="shared" si="42"/>
        <v>17000000</v>
      </c>
      <c r="H54" s="42"/>
      <c r="I54" s="42"/>
      <c r="J54" s="42"/>
      <c r="K54" s="42"/>
      <c r="L54" s="42"/>
      <c r="M54" s="42"/>
      <c r="N54" s="42"/>
      <c r="O54" s="42">
        <v>10000000</v>
      </c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>
        <f>7000000</f>
        <v>7000000</v>
      </c>
      <c r="AA54" s="42"/>
      <c r="AB54" s="42"/>
      <c r="AC54" s="42"/>
      <c r="AD54" s="42"/>
      <c r="AE54" s="43">
        <f t="shared" si="32"/>
        <v>0.74592588235294122</v>
      </c>
      <c r="AF54" s="42">
        <f t="shared" si="43"/>
        <v>12680740</v>
      </c>
      <c r="AG54" s="42"/>
      <c r="AH54" s="42"/>
      <c r="AI54" s="42"/>
      <c r="AJ54" s="42"/>
      <c r="AK54" s="42"/>
      <c r="AL54" s="42"/>
      <c r="AM54" s="42"/>
      <c r="AN54" s="42">
        <f>+'[3]NOVIEMBRE 2019'!$Q$2428</f>
        <v>7055740</v>
      </c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>
        <f>+'[3]NOVIEMBRE 2019'!$AB$2428</f>
        <v>5625000</v>
      </c>
      <c r="AZ54" s="42"/>
      <c r="BA54" s="42"/>
      <c r="BB54" s="42"/>
      <c r="BC54" s="42"/>
      <c r="BD54" s="43">
        <f t="shared" si="3"/>
        <v>0.25407411764705878</v>
      </c>
      <c r="BE54" s="42">
        <f t="shared" si="44"/>
        <v>4319260</v>
      </c>
      <c r="BF54" s="42">
        <f t="shared" si="45"/>
        <v>0</v>
      </c>
      <c r="BG54" s="42">
        <f t="shared" si="45"/>
        <v>0</v>
      </c>
      <c r="BH54" s="42">
        <f t="shared" si="45"/>
        <v>0</v>
      </c>
      <c r="BI54" s="42">
        <f t="shared" si="46"/>
        <v>0</v>
      </c>
      <c r="BJ54" s="42">
        <f t="shared" si="47"/>
        <v>0</v>
      </c>
      <c r="BK54" s="42">
        <f t="shared" si="47"/>
        <v>0</v>
      </c>
      <c r="BL54" s="42">
        <f t="shared" si="47"/>
        <v>0</v>
      </c>
      <c r="BM54" s="42">
        <f t="shared" si="47"/>
        <v>2944260</v>
      </c>
      <c r="BN54" s="42">
        <f t="shared" si="47"/>
        <v>0</v>
      </c>
      <c r="BO54" s="42">
        <f t="shared" si="47"/>
        <v>0</v>
      </c>
      <c r="BP54" s="42">
        <f t="shared" si="47"/>
        <v>0</v>
      </c>
      <c r="BQ54" s="42">
        <f t="shared" si="47"/>
        <v>0</v>
      </c>
      <c r="BR54" s="42">
        <f t="shared" si="47"/>
        <v>0</v>
      </c>
      <c r="BS54" s="42">
        <f t="shared" si="47"/>
        <v>0</v>
      </c>
      <c r="BT54" s="42">
        <f t="shared" si="47"/>
        <v>0</v>
      </c>
      <c r="BU54" s="42">
        <f t="shared" si="47"/>
        <v>0</v>
      </c>
      <c r="BV54" s="42">
        <f t="shared" si="47"/>
        <v>0</v>
      </c>
      <c r="BW54" s="42">
        <f t="shared" si="47"/>
        <v>0</v>
      </c>
      <c r="BX54" s="42">
        <f t="shared" si="47"/>
        <v>1375000</v>
      </c>
      <c r="BY54" s="42">
        <f t="shared" si="47"/>
        <v>0</v>
      </c>
      <c r="BZ54" s="42">
        <f t="shared" si="48"/>
        <v>0</v>
      </c>
      <c r="CA54" s="42"/>
      <c r="CB54" s="42">
        <f t="shared" si="49"/>
        <v>0</v>
      </c>
      <c r="CC54" s="43">
        <f t="shared" si="8"/>
        <v>0.74592588235294122</v>
      </c>
      <c r="CD54" s="42">
        <f t="shared" si="50"/>
        <v>12680740</v>
      </c>
      <c r="CE54" s="42"/>
      <c r="CF54" s="42"/>
      <c r="CG54" s="42"/>
      <c r="CH54" s="42"/>
      <c r="CI54" s="42"/>
      <c r="CJ54" s="42"/>
      <c r="CK54" s="42"/>
      <c r="CL54" s="42">
        <f>+'[1]OCTUBRE 2019'!$Q$2190</f>
        <v>7055740</v>
      </c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>
        <f>+'[3]NOVIEMBRE 2019'!$H$2435+'[3]NOVIEMBRE 2019'!$H$2437</f>
        <v>5625000</v>
      </c>
      <c r="CX54" s="42"/>
      <c r="CY54" s="42"/>
      <c r="CZ54" s="42"/>
      <c r="DA54" s="42"/>
      <c r="DB54" s="43">
        <f t="shared" si="10"/>
        <v>0.25407411764705878</v>
      </c>
      <c r="DC54" s="42">
        <f t="shared" si="51"/>
        <v>4319260</v>
      </c>
      <c r="DD54" s="42">
        <f t="shared" si="52"/>
        <v>0</v>
      </c>
      <c r="DE54" s="42">
        <f t="shared" si="52"/>
        <v>0</v>
      </c>
      <c r="DF54" s="42">
        <f t="shared" si="52"/>
        <v>0</v>
      </c>
      <c r="DG54" s="42">
        <f t="shared" si="52"/>
        <v>0</v>
      </c>
      <c r="DH54" s="42">
        <f t="shared" si="52"/>
        <v>0</v>
      </c>
      <c r="DI54" s="42">
        <f t="shared" si="52"/>
        <v>0</v>
      </c>
      <c r="DJ54" s="42">
        <f t="shared" si="52"/>
        <v>0</v>
      </c>
      <c r="DK54" s="42">
        <f t="shared" si="52"/>
        <v>2944260</v>
      </c>
      <c r="DL54" s="42">
        <f t="shared" si="52"/>
        <v>0</v>
      </c>
      <c r="DM54" s="42">
        <f t="shared" si="52"/>
        <v>0</v>
      </c>
      <c r="DN54" s="42">
        <f t="shared" si="52"/>
        <v>0</v>
      </c>
      <c r="DO54" s="42">
        <f t="shared" si="52"/>
        <v>0</v>
      </c>
      <c r="DP54" s="42">
        <f t="shared" si="52"/>
        <v>0</v>
      </c>
      <c r="DQ54" s="42">
        <f t="shared" si="52"/>
        <v>0</v>
      </c>
      <c r="DR54" s="42">
        <f t="shared" si="52"/>
        <v>0</v>
      </c>
      <c r="DS54" s="42">
        <f t="shared" si="52"/>
        <v>0</v>
      </c>
      <c r="DT54" s="42">
        <f t="shared" si="53"/>
        <v>0</v>
      </c>
      <c r="DU54" s="42">
        <f t="shared" si="53"/>
        <v>0</v>
      </c>
      <c r="DV54" s="42">
        <f t="shared" si="53"/>
        <v>1375000</v>
      </c>
      <c r="DW54" s="42">
        <f t="shared" si="53"/>
        <v>0</v>
      </c>
      <c r="DX54" s="42">
        <f t="shared" si="53"/>
        <v>0</v>
      </c>
      <c r="DY54" s="42"/>
      <c r="DZ54" s="42">
        <f t="shared" si="54"/>
        <v>0</v>
      </c>
      <c r="EB54" s="47">
        <f t="shared" si="15"/>
        <v>17000000</v>
      </c>
      <c r="EC54" s="47">
        <f t="shared" si="16"/>
        <v>17000000</v>
      </c>
      <c r="ED54" s="47">
        <f t="shared" si="17"/>
        <v>17000000</v>
      </c>
    </row>
    <row r="55" spans="1:134" ht="31.5" customHeight="1" x14ac:dyDescent="0.3">
      <c r="A55" s="48"/>
      <c r="B55" s="53"/>
      <c r="C55" s="38" t="s">
        <v>174</v>
      </c>
      <c r="D55" s="50" t="s">
        <v>175</v>
      </c>
      <c r="E55" s="40">
        <v>410</v>
      </c>
      <c r="F55" s="60" t="s">
        <v>139</v>
      </c>
      <c r="G55" s="42">
        <f t="shared" si="42"/>
        <v>24000000</v>
      </c>
      <c r="H55" s="42"/>
      <c r="I55" s="42"/>
      <c r="J55" s="42"/>
      <c r="K55" s="42"/>
      <c r="L55" s="42"/>
      <c r="M55" s="42"/>
      <c r="N55" s="42"/>
      <c r="O55" s="42">
        <v>15000000</v>
      </c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>
        <f>9000000</f>
        <v>9000000</v>
      </c>
      <c r="AA55" s="42"/>
      <c r="AB55" s="42"/>
      <c r="AC55" s="42"/>
      <c r="AD55" s="42"/>
      <c r="AE55" s="43">
        <f t="shared" si="32"/>
        <v>0.53749999999999998</v>
      </c>
      <c r="AF55" s="42">
        <f t="shared" si="43"/>
        <v>12900000</v>
      </c>
      <c r="AG55" s="42"/>
      <c r="AH55" s="42"/>
      <c r="AI55" s="42"/>
      <c r="AJ55" s="42"/>
      <c r="AK55" s="42"/>
      <c r="AL55" s="42"/>
      <c r="AM55" s="42"/>
      <c r="AN55" s="42">
        <f>+'[3]NOVIEMBRE 2019'!$Q$2442</f>
        <v>9674820</v>
      </c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>
        <f>+'[3]NOVIEMBRE 2019'!$AB$2442</f>
        <v>3225180</v>
      </c>
      <c r="AZ55" s="42"/>
      <c r="BA55" s="42"/>
      <c r="BB55" s="42"/>
      <c r="BC55" s="42"/>
      <c r="BD55" s="43">
        <f t="shared" si="3"/>
        <v>0.46250000000000002</v>
      </c>
      <c r="BE55" s="42">
        <f t="shared" si="44"/>
        <v>11100000</v>
      </c>
      <c r="BF55" s="42">
        <f t="shared" si="45"/>
        <v>0</v>
      </c>
      <c r="BG55" s="42">
        <f t="shared" si="45"/>
        <v>0</v>
      </c>
      <c r="BH55" s="42">
        <f t="shared" si="45"/>
        <v>0</v>
      </c>
      <c r="BI55" s="42">
        <f t="shared" si="46"/>
        <v>0</v>
      </c>
      <c r="BJ55" s="42">
        <f t="shared" si="47"/>
        <v>0</v>
      </c>
      <c r="BK55" s="42">
        <f t="shared" si="47"/>
        <v>0</v>
      </c>
      <c r="BL55" s="42">
        <f t="shared" si="47"/>
        <v>0</v>
      </c>
      <c r="BM55" s="42">
        <f t="shared" si="47"/>
        <v>5325180</v>
      </c>
      <c r="BN55" s="42">
        <f t="shared" si="47"/>
        <v>0</v>
      </c>
      <c r="BO55" s="42">
        <f t="shared" si="47"/>
        <v>0</v>
      </c>
      <c r="BP55" s="42">
        <f t="shared" si="47"/>
        <v>0</v>
      </c>
      <c r="BQ55" s="42">
        <f t="shared" si="47"/>
        <v>0</v>
      </c>
      <c r="BR55" s="42">
        <f t="shared" si="47"/>
        <v>0</v>
      </c>
      <c r="BS55" s="42">
        <f t="shared" si="47"/>
        <v>0</v>
      </c>
      <c r="BT55" s="42">
        <f t="shared" si="47"/>
        <v>0</v>
      </c>
      <c r="BU55" s="42">
        <f t="shared" si="47"/>
        <v>0</v>
      </c>
      <c r="BV55" s="42">
        <f t="shared" si="47"/>
        <v>0</v>
      </c>
      <c r="BW55" s="42">
        <f t="shared" si="47"/>
        <v>0</v>
      </c>
      <c r="BX55" s="42">
        <f t="shared" si="47"/>
        <v>5774820</v>
      </c>
      <c r="BY55" s="42">
        <f t="shared" ref="BY55:BY79" si="55">AA55-AZ55</f>
        <v>0</v>
      </c>
      <c r="BZ55" s="42">
        <f t="shared" si="48"/>
        <v>0</v>
      </c>
      <c r="CA55" s="42"/>
      <c r="CB55" s="42">
        <f t="shared" si="49"/>
        <v>0</v>
      </c>
      <c r="CC55" s="43">
        <f t="shared" si="8"/>
        <v>0.53749999999999998</v>
      </c>
      <c r="CD55" s="42">
        <f t="shared" si="50"/>
        <v>12900000</v>
      </c>
      <c r="CE55" s="42"/>
      <c r="CF55" s="42"/>
      <c r="CG55" s="42"/>
      <c r="CH55" s="42"/>
      <c r="CI55" s="42"/>
      <c r="CJ55" s="42"/>
      <c r="CK55" s="42"/>
      <c r="CL55" s="42">
        <f>+'[3]NOVIEMBRE 2019'!$H$2443+'[3]NOVIEMBRE 2019'!$H$2446+'[3]NOVIEMBRE 2019'!$H$2447+'[3]NOVIEMBRE 2019'!$H$2448</f>
        <v>9674820</v>
      </c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>
        <f>+'[3]NOVIEMBRE 2019'!$H$2444+'[3]NOVIEMBRE 2019'!$H$2445</f>
        <v>3225180</v>
      </c>
      <c r="CX55" s="42"/>
      <c r="CY55" s="42"/>
      <c r="CZ55" s="42"/>
      <c r="DA55" s="42"/>
      <c r="DB55" s="43">
        <f t="shared" si="10"/>
        <v>0.46250000000000002</v>
      </c>
      <c r="DC55" s="42">
        <f t="shared" si="51"/>
        <v>11100000</v>
      </c>
      <c r="DD55" s="42">
        <f t="shared" si="52"/>
        <v>0</v>
      </c>
      <c r="DE55" s="42">
        <f t="shared" si="52"/>
        <v>0</v>
      </c>
      <c r="DF55" s="42">
        <f t="shared" si="52"/>
        <v>0</v>
      </c>
      <c r="DG55" s="42">
        <f t="shared" si="52"/>
        <v>0</v>
      </c>
      <c r="DH55" s="42">
        <f t="shared" si="52"/>
        <v>0</v>
      </c>
      <c r="DI55" s="42">
        <f t="shared" si="52"/>
        <v>0</v>
      </c>
      <c r="DJ55" s="42">
        <f t="shared" si="52"/>
        <v>0</v>
      </c>
      <c r="DK55" s="42">
        <f t="shared" si="52"/>
        <v>5325180</v>
      </c>
      <c r="DL55" s="42">
        <f t="shared" si="52"/>
        <v>0</v>
      </c>
      <c r="DM55" s="42">
        <f t="shared" si="52"/>
        <v>0</v>
      </c>
      <c r="DN55" s="42">
        <f t="shared" si="52"/>
        <v>0</v>
      </c>
      <c r="DO55" s="42">
        <f t="shared" si="52"/>
        <v>0</v>
      </c>
      <c r="DP55" s="42">
        <f t="shared" si="52"/>
        <v>0</v>
      </c>
      <c r="DQ55" s="42">
        <f t="shared" si="52"/>
        <v>0</v>
      </c>
      <c r="DR55" s="42">
        <f t="shared" si="52"/>
        <v>0</v>
      </c>
      <c r="DS55" s="42">
        <f t="shared" ref="DS55:DS79" si="56">W55-CT55</f>
        <v>0</v>
      </c>
      <c r="DT55" s="42">
        <f t="shared" si="53"/>
        <v>0</v>
      </c>
      <c r="DU55" s="42">
        <f t="shared" si="53"/>
        <v>0</v>
      </c>
      <c r="DV55" s="42">
        <f t="shared" si="53"/>
        <v>5774820</v>
      </c>
      <c r="DW55" s="42">
        <f t="shared" si="53"/>
        <v>0</v>
      </c>
      <c r="DX55" s="42">
        <f t="shared" si="53"/>
        <v>0</v>
      </c>
      <c r="DY55" s="42"/>
      <c r="DZ55" s="42">
        <f t="shared" si="54"/>
        <v>0</v>
      </c>
      <c r="EB55" s="47">
        <f t="shared" si="15"/>
        <v>24000000</v>
      </c>
      <c r="EC55" s="47">
        <f t="shared" si="16"/>
        <v>24000000</v>
      </c>
      <c r="ED55" s="47">
        <f t="shared" si="17"/>
        <v>24000000</v>
      </c>
    </row>
    <row r="56" spans="1:134" ht="30.75" customHeight="1" x14ac:dyDescent="0.3">
      <c r="A56" s="48"/>
      <c r="B56" s="53"/>
      <c r="C56" s="38" t="s">
        <v>176</v>
      </c>
      <c r="D56" s="50" t="s">
        <v>177</v>
      </c>
      <c r="E56" s="40">
        <v>410</v>
      </c>
      <c r="F56" s="60" t="s">
        <v>139</v>
      </c>
      <c r="G56" s="42">
        <f t="shared" si="42"/>
        <v>24000000</v>
      </c>
      <c r="H56" s="42"/>
      <c r="I56" s="42"/>
      <c r="J56" s="42"/>
      <c r="K56" s="42"/>
      <c r="L56" s="42"/>
      <c r="M56" s="42"/>
      <c r="N56" s="42"/>
      <c r="O56" s="42">
        <v>16000000</v>
      </c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>
        <v>8000000</v>
      </c>
      <c r="AA56" s="42"/>
      <c r="AB56" s="42"/>
      <c r="AC56" s="42"/>
      <c r="AD56" s="42"/>
      <c r="AE56" s="43">
        <f t="shared" si="32"/>
        <v>0.32070537500000001</v>
      </c>
      <c r="AF56" s="42">
        <f t="shared" si="43"/>
        <v>7696929</v>
      </c>
      <c r="AG56" s="42"/>
      <c r="AH56" s="42"/>
      <c r="AI56" s="42"/>
      <c r="AJ56" s="42"/>
      <c r="AK56" s="42"/>
      <c r="AL56" s="42"/>
      <c r="AM56" s="42"/>
      <c r="AN56" s="42">
        <f>+'[3]NOVIEMBRE 2019'!$Q$2453</f>
        <v>6626929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>
        <f>+'[3]NOVIEMBRE 2019'!$AB$2453</f>
        <v>1070000</v>
      </c>
      <c r="AZ56" s="42"/>
      <c r="BA56" s="42"/>
      <c r="BB56" s="42"/>
      <c r="BC56" s="42"/>
      <c r="BD56" s="43">
        <f t="shared" si="3"/>
        <v>0.67929462500000004</v>
      </c>
      <c r="BE56" s="42">
        <f t="shared" si="44"/>
        <v>16303071</v>
      </c>
      <c r="BF56" s="42">
        <f t="shared" si="45"/>
        <v>0</v>
      </c>
      <c r="BG56" s="42">
        <f t="shared" si="45"/>
        <v>0</v>
      </c>
      <c r="BH56" s="42">
        <f t="shared" si="45"/>
        <v>0</v>
      </c>
      <c r="BI56" s="42">
        <f t="shared" si="46"/>
        <v>0</v>
      </c>
      <c r="BJ56" s="42">
        <f t="shared" ref="BJ56:BX72" si="57">L56-AK56</f>
        <v>0</v>
      </c>
      <c r="BK56" s="42">
        <f t="shared" si="57"/>
        <v>0</v>
      </c>
      <c r="BL56" s="42">
        <f t="shared" si="57"/>
        <v>0</v>
      </c>
      <c r="BM56" s="42">
        <f t="shared" si="57"/>
        <v>9373071</v>
      </c>
      <c r="BN56" s="42">
        <f t="shared" si="57"/>
        <v>0</v>
      </c>
      <c r="BO56" s="42">
        <f t="shared" si="57"/>
        <v>0</v>
      </c>
      <c r="BP56" s="42">
        <f t="shared" si="57"/>
        <v>0</v>
      </c>
      <c r="BQ56" s="42">
        <f t="shared" si="57"/>
        <v>0</v>
      </c>
      <c r="BR56" s="42">
        <f t="shared" si="57"/>
        <v>0</v>
      </c>
      <c r="BS56" s="42">
        <f t="shared" si="57"/>
        <v>0</v>
      </c>
      <c r="BT56" s="42">
        <f t="shared" si="57"/>
        <v>0</v>
      </c>
      <c r="BU56" s="42">
        <f t="shared" si="57"/>
        <v>0</v>
      </c>
      <c r="BV56" s="42">
        <f t="shared" si="57"/>
        <v>0</v>
      </c>
      <c r="BW56" s="42">
        <f t="shared" si="57"/>
        <v>0</v>
      </c>
      <c r="BX56" s="42">
        <f t="shared" si="57"/>
        <v>6930000</v>
      </c>
      <c r="BY56" s="42">
        <f t="shared" si="55"/>
        <v>0</v>
      </c>
      <c r="BZ56" s="42">
        <f t="shared" si="48"/>
        <v>0</v>
      </c>
      <c r="CA56" s="42"/>
      <c r="CB56" s="42">
        <f t="shared" si="49"/>
        <v>0</v>
      </c>
      <c r="CC56" s="43">
        <f t="shared" si="8"/>
        <v>0.27903870833333333</v>
      </c>
      <c r="CD56" s="42">
        <f t="shared" si="50"/>
        <v>6696929</v>
      </c>
      <c r="CE56" s="42"/>
      <c r="CF56" s="42"/>
      <c r="CG56" s="42"/>
      <c r="CH56" s="42"/>
      <c r="CI56" s="42"/>
      <c r="CJ56" s="42"/>
      <c r="CK56" s="42"/>
      <c r="CL56" s="42">
        <f>+'[3]NOVIEMBRE 2019'!$H$2454+'[3]NOVIEMBRE 2019'!$H$2457+'[3]NOVIEMBRE 2019'!$H$2458+'[3]NOVIEMBRE 2019'!$H$2459+'[3]NOVIEMBRE 2019'!$H$2460+'[3]NOVIEMBRE 2019'!$H$2461</f>
        <v>5626929</v>
      </c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>
        <f>+'[3]NOVIEMBRE 2019'!$AB$2453</f>
        <v>1070000</v>
      </c>
      <c r="CX56" s="42"/>
      <c r="CY56" s="42"/>
      <c r="CZ56" s="42"/>
      <c r="DA56" s="42"/>
      <c r="DB56" s="43">
        <f t="shared" si="10"/>
        <v>0.72096129166666667</v>
      </c>
      <c r="DC56" s="42">
        <f t="shared" si="51"/>
        <v>17303071</v>
      </c>
      <c r="DD56" s="42">
        <f t="shared" ref="DD56:DR72" si="58">H56-CE56</f>
        <v>0</v>
      </c>
      <c r="DE56" s="42">
        <f t="shared" si="58"/>
        <v>0</v>
      </c>
      <c r="DF56" s="42">
        <f t="shared" si="58"/>
        <v>0</v>
      </c>
      <c r="DG56" s="42">
        <f t="shared" si="58"/>
        <v>0</v>
      </c>
      <c r="DH56" s="42">
        <f t="shared" si="58"/>
        <v>0</v>
      </c>
      <c r="DI56" s="42">
        <f t="shared" si="58"/>
        <v>0</v>
      </c>
      <c r="DJ56" s="42">
        <f t="shared" si="58"/>
        <v>0</v>
      </c>
      <c r="DK56" s="42">
        <f t="shared" si="58"/>
        <v>10373071</v>
      </c>
      <c r="DL56" s="42">
        <f t="shared" si="58"/>
        <v>0</v>
      </c>
      <c r="DM56" s="42">
        <f t="shared" si="58"/>
        <v>0</v>
      </c>
      <c r="DN56" s="42">
        <f t="shared" si="58"/>
        <v>0</v>
      </c>
      <c r="DO56" s="42">
        <f t="shared" si="58"/>
        <v>0</v>
      </c>
      <c r="DP56" s="42">
        <f t="shared" si="58"/>
        <v>0</v>
      </c>
      <c r="DQ56" s="42">
        <f t="shared" si="58"/>
        <v>0</v>
      </c>
      <c r="DR56" s="42">
        <f t="shared" si="58"/>
        <v>0</v>
      </c>
      <c r="DS56" s="42">
        <f t="shared" si="56"/>
        <v>0</v>
      </c>
      <c r="DT56" s="42">
        <f t="shared" si="53"/>
        <v>0</v>
      </c>
      <c r="DU56" s="42">
        <f t="shared" si="53"/>
        <v>0</v>
      </c>
      <c r="DV56" s="42">
        <f t="shared" si="53"/>
        <v>6930000</v>
      </c>
      <c r="DW56" s="42">
        <f t="shared" si="53"/>
        <v>0</v>
      </c>
      <c r="DX56" s="42">
        <f t="shared" si="53"/>
        <v>0</v>
      </c>
      <c r="DY56" s="42"/>
      <c r="DZ56" s="42">
        <f t="shared" si="54"/>
        <v>0</v>
      </c>
      <c r="EB56" s="47">
        <f t="shared" si="15"/>
        <v>24000000</v>
      </c>
      <c r="EC56" s="47">
        <f t="shared" si="16"/>
        <v>24000000</v>
      </c>
      <c r="ED56" s="47">
        <f t="shared" si="17"/>
        <v>24000000</v>
      </c>
    </row>
    <row r="57" spans="1:134" ht="32.4" customHeight="1" x14ac:dyDescent="0.3">
      <c r="A57" s="48"/>
      <c r="B57" s="53"/>
      <c r="C57" s="38" t="s">
        <v>178</v>
      </c>
      <c r="D57" s="50" t="s">
        <v>179</v>
      </c>
      <c r="E57" s="40">
        <v>410</v>
      </c>
      <c r="F57" s="60" t="s">
        <v>139</v>
      </c>
      <c r="G57" s="42">
        <f t="shared" si="42"/>
        <v>40000000</v>
      </c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>
        <f>20000000+20000000</f>
        <v>40000000</v>
      </c>
      <c r="AA57" s="42"/>
      <c r="AB57" s="42"/>
      <c r="AC57" s="42"/>
      <c r="AD57" s="42"/>
      <c r="AE57" s="43">
        <f t="shared" si="32"/>
        <v>0.39766792499999998</v>
      </c>
      <c r="AF57" s="42">
        <f t="shared" si="43"/>
        <v>15906717</v>
      </c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>
        <f>+'[3]NOVIEMBRE 2019'!$AB$2469</f>
        <v>15906717</v>
      </c>
      <c r="AZ57" s="42"/>
      <c r="BA57" s="42"/>
      <c r="BB57" s="42"/>
      <c r="BC57" s="42"/>
      <c r="BD57" s="43">
        <f t="shared" si="3"/>
        <v>0.60233207500000008</v>
      </c>
      <c r="BE57" s="42">
        <f t="shared" si="44"/>
        <v>24093283</v>
      </c>
      <c r="BF57" s="42">
        <f t="shared" si="45"/>
        <v>0</v>
      </c>
      <c r="BG57" s="42">
        <f t="shared" si="45"/>
        <v>0</v>
      </c>
      <c r="BH57" s="42">
        <f t="shared" si="45"/>
        <v>0</v>
      </c>
      <c r="BI57" s="42">
        <f t="shared" si="46"/>
        <v>0</v>
      </c>
      <c r="BJ57" s="42">
        <f t="shared" si="57"/>
        <v>0</v>
      </c>
      <c r="BK57" s="42">
        <f t="shared" si="57"/>
        <v>0</v>
      </c>
      <c r="BL57" s="42">
        <f t="shared" si="57"/>
        <v>0</v>
      </c>
      <c r="BM57" s="42">
        <f t="shared" si="57"/>
        <v>0</v>
      </c>
      <c r="BN57" s="42">
        <f t="shared" si="57"/>
        <v>0</v>
      </c>
      <c r="BO57" s="42">
        <f t="shared" si="57"/>
        <v>0</v>
      </c>
      <c r="BP57" s="42">
        <f t="shared" si="57"/>
        <v>0</v>
      </c>
      <c r="BQ57" s="42">
        <f t="shared" si="57"/>
        <v>0</v>
      </c>
      <c r="BR57" s="42">
        <f t="shared" si="57"/>
        <v>0</v>
      </c>
      <c r="BS57" s="42">
        <f t="shared" si="57"/>
        <v>0</v>
      </c>
      <c r="BT57" s="42">
        <f t="shared" si="57"/>
        <v>0</v>
      </c>
      <c r="BU57" s="42">
        <f t="shared" si="57"/>
        <v>0</v>
      </c>
      <c r="BV57" s="42">
        <f t="shared" si="57"/>
        <v>0</v>
      </c>
      <c r="BW57" s="42">
        <f t="shared" si="57"/>
        <v>0</v>
      </c>
      <c r="BX57" s="42">
        <f t="shared" si="57"/>
        <v>24093283</v>
      </c>
      <c r="BY57" s="42">
        <f t="shared" si="55"/>
        <v>0</v>
      </c>
      <c r="BZ57" s="42">
        <f t="shared" si="48"/>
        <v>0</v>
      </c>
      <c r="CA57" s="42"/>
      <c r="CB57" s="42">
        <f t="shared" si="49"/>
        <v>0</v>
      </c>
      <c r="CC57" s="43">
        <f t="shared" si="8"/>
        <v>0.16720665000000001</v>
      </c>
      <c r="CD57" s="42">
        <f t="shared" si="50"/>
        <v>6688266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>
        <f>+'[3]NOVIEMBRE 2019'!$H$2470+'[3]NOVIEMBRE 2019'!$H$2472+'[3]NOVIEMBRE 2019'!$H$2475+'[3]NOVIEMBRE 2019'!$H$2479</f>
        <v>6688266</v>
      </c>
      <c r="CX57" s="42"/>
      <c r="CY57" s="42"/>
      <c r="CZ57" s="42"/>
      <c r="DA57" s="42"/>
      <c r="DB57" s="43">
        <f t="shared" si="10"/>
        <v>0.83279334999999999</v>
      </c>
      <c r="DC57" s="42">
        <f t="shared" si="51"/>
        <v>33311734</v>
      </c>
      <c r="DD57" s="42">
        <f t="shared" si="58"/>
        <v>0</v>
      </c>
      <c r="DE57" s="42">
        <f t="shared" si="58"/>
        <v>0</v>
      </c>
      <c r="DF57" s="42">
        <f t="shared" si="58"/>
        <v>0</v>
      </c>
      <c r="DG57" s="42">
        <f t="shared" si="58"/>
        <v>0</v>
      </c>
      <c r="DH57" s="42">
        <f t="shared" si="58"/>
        <v>0</v>
      </c>
      <c r="DI57" s="42">
        <f t="shared" si="58"/>
        <v>0</v>
      </c>
      <c r="DJ57" s="42">
        <f t="shared" si="58"/>
        <v>0</v>
      </c>
      <c r="DK57" s="42">
        <f t="shared" si="58"/>
        <v>0</v>
      </c>
      <c r="DL57" s="42">
        <f t="shared" si="58"/>
        <v>0</v>
      </c>
      <c r="DM57" s="42">
        <f t="shared" si="58"/>
        <v>0</v>
      </c>
      <c r="DN57" s="42">
        <f t="shared" si="58"/>
        <v>0</v>
      </c>
      <c r="DO57" s="42">
        <f t="shared" si="58"/>
        <v>0</v>
      </c>
      <c r="DP57" s="42">
        <f t="shared" si="58"/>
        <v>0</v>
      </c>
      <c r="DQ57" s="42">
        <f t="shared" si="58"/>
        <v>0</v>
      </c>
      <c r="DR57" s="42">
        <f t="shared" si="58"/>
        <v>0</v>
      </c>
      <c r="DS57" s="42">
        <f t="shared" si="56"/>
        <v>0</v>
      </c>
      <c r="DT57" s="42">
        <f t="shared" si="53"/>
        <v>0</v>
      </c>
      <c r="DU57" s="42">
        <f t="shared" si="53"/>
        <v>0</v>
      </c>
      <c r="DV57" s="42">
        <f t="shared" si="53"/>
        <v>33311734</v>
      </c>
      <c r="DW57" s="42">
        <f t="shared" si="53"/>
        <v>0</v>
      </c>
      <c r="DX57" s="42">
        <f t="shared" si="53"/>
        <v>0</v>
      </c>
      <c r="DY57" s="42"/>
      <c r="DZ57" s="42">
        <f t="shared" si="54"/>
        <v>0</v>
      </c>
      <c r="EB57" s="47">
        <f t="shared" si="15"/>
        <v>40000000</v>
      </c>
      <c r="EC57" s="47">
        <f t="shared" si="16"/>
        <v>40000000</v>
      </c>
      <c r="ED57" s="47">
        <f t="shared" si="17"/>
        <v>40000000</v>
      </c>
    </row>
    <row r="58" spans="1:134" ht="33.75" customHeight="1" x14ac:dyDescent="0.3">
      <c r="A58" s="48"/>
      <c r="B58" s="53"/>
      <c r="C58" s="38" t="s">
        <v>180</v>
      </c>
      <c r="D58" s="50" t="s">
        <v>181</v>
      </c>
      <c r="E58" s="40">
        <v>410</v>
      </c>
      <c r="F58" s="60" t="s">
        <v>139</v>
      </c>
      <c r="G58" s="42">
        <f t="shared" si="42"/>
        <v>0</v>
      </c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3" t="e">
        <f t="shared" si="32"/>
        <v>#DIV/0!</v>
      </c>
      <c r="AF58" s="42">
        <f t="shared" si="43"/>
        <v>0</v>
      </c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3" t="e">
        <f t="shared" si="3"/>
        <v>#DIV/0!</v>
      </c>
      <c r="BE58" s="42">
        <f t="shared" si="44"/>
        <v>0</v>
      </c>
      <c r="BF58" s="42">
        <f t="shared" si="45"/>
        <v>0</v>
      </c>
      <c r="BG58" s="42">
        <f t="shared" si="45"/>
        <v>0</v>
      </c>
      <c r="BH58" s="42">
        <f t="shared" si="45"/>
        <v>0</v>
      </c>
      <c r="BI58" s="42">
        <f t="shared" si="46"/>
        <v>0</v>
      </c>
      <c r="BJ58" s="42">
        <f t="shared" si="57"/>
        <v>0</v>
      </c>
      <c r="BK58" s="42">
        <f t="shared" si="57"/>
        <v>0</v>
      </c>
      <c r="BL58" s="42">
        <f t="shared" si="57"/>
        <v>0</v>
      </c>
      <c r="BM58" s="42">
        <f t="shared" si="57"/>
        <v>0</v>
      </c>
      <c r="BN58" s="42">
        <f t="shared" si="57"/>
        <v>0</v>
      </c>
      <c r="BO58" s="42">
        <f t="shared" si="57"/>
        <v>0</v>
      </c>
      <c r="BP58" s="42">
        <f t="shared" si="57"/>
        <v>0</v>
      </c>
      <c r="BQ58" s="42">
        <f t="shared" si="57"/>
        <v>0</v>
      </c>
      <c r="BR58" s="42">
        <f t="shared" si="57"/>
        <v>0</v>
      </c>
      <c r="BS58" s="42">
        <f t="shared" si="57"/>
        <v>0</v>
      </c>
      <c r="BT58" s="42">
        <f t="shared" si="57"/>
        <v>0</v>
      </c>
      <c r="BU58" s="42">
        <f t="shared" si="57"/>
        <v>0</v>
      </c>
      <c r="BV58" s="42">
        <f t="shared" si="57"/>
        <v>0</v>
      </c>
      <c r="BW58" s="42">
        <f t="shared" si="57"/>
        <v>0</v>
      </c>
      <c r="BX58" s="42">
        <f t="shared" si="57"/>
        <v>0</v>
      </c>
      <c r="BY58" s="42">
        <f t="shared" si="55"/>
        <v>0</v>
      </c>
      <c r="BZ58" s="42">
        <f t="shared" si="48"/>
        <v>0</v>
      </c>
      <c r="CA58" s="42"/>
      <c r="CB58" s="42">
        <f t="shared" si="49"/>
        <v>0</v>
      </c>
      <c r="CC58" s="43" t="e">
        <f t="shared" si="8"/>
        <v>#DIV/0!</v>
      </c>
      <c r="CD58" s="42">
        <f t="shared" si="50"/>
        <v>0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3" t="e">
        <f t="shared" si="10"/>
        <v>#DIV/0!</v>
      </c>
      <c r="DC58" s="42">
        <f t="shared" si="51"/>
        <v>0</v>
      </c>
      <c r="DD58" s="42">
        <f t="shared" si="58"/>
        <v>0</v>
      </c>
      <c r="DE58" s="42">
        <f t="shared" si="58"/>
        <v>0</v>
      </c>
      <c r="DF58" s="42">
        <f t="shared" si="58"/>
        <v>0</v>
      </c>
      <c r="DG58" s="42">
        <f t="shared" si="58"/>
        <v>0</v>
      </c>
      <c r="DH58" s="42">
        <f t="shared" si="58"/>
        <v>0</v>
      </c>
      <c r="DI58" s="42">
        <f t="shared" si="58"/>
        <v>0</v>
      </c>
      <c r="DJ58" s="42">
        <f t="shared" si="58"/>
        <v>0</v>
      </c>
      <c r="DK58" s="42">
        <f t="shared" si="58"/>
        <v>0</v>
      </c>
      <c r="DL58" s="42">
        <f t="shared" si="58"/>
        <v>0</v>
      </c>
      <c r="DM58" s="42">
        <f t="shared" si="58"/>
        <v>0</v>
      </c>
      <c r="DN58" s="42">
        <f t="shared" si="58"/>
        <v>0</v>
      </c>
      <c r="DO58" s="42">
        <f t="shared" si="58"/>
        <v>0</v>
      </c>
      <c r="DP58" s="42">
        <f t="shared" si="58"/>
        <v>0</v>
      </c>
      <c r="DQ58" s="42">
        <f t="shared" si="58"/>
        <v>0</v>
      </c>
      <c r="DR58" s="42">
        <f t="shared" si="58"/>
        <v>0</v>
      </c>
      <c r="DS58" s="42">
        <f t="shared" si="56"/>
        <v>0</v>
      </c>
      <c r="DT58" s="42">
        <f t="shared" si="53"/>
        <v>0</v>
      </c>
      <c r="DU58" s="42">
        <f t="shared" si="53"/>
        <v>0</v>
      </c>
      <c r="DV58" s="42">
        <f t="shared" si="53"/>
        <v>0</v>
      </c>
      <c r="DW58" s="42">
        <f t="shared" si="53"/>
        <v>0</v>
      </c>
      <c r="DX58" s="42">
        <f t="shared" si="53"/>
        <v>0</v>
      </c>
      <c r="DY58" s="42"/>
      <c r="DZ58" s="42">
        <f t="shared" si="54"/>
        <v>0</v>
      </c>
      <c r="EB58" s="47">
        <f t="shared" si="15"/>
        <v>0</v>
      </c>
      <c r="EC58" s="47">
        <f t="shared" si="16"/>
        <v>0</v>
      </c>
      <c r="ED58" s="47">
        <f t="shared" si="17"/>
        <v>0</v>
      </c>
    </row>
    <row r="59" spans="1:134" ht="28.8" customHeight="1" x14ac:dyDescent="0.3">
      <c r="A59" s="82" t="s">
        <v>135</v>
      </c>
      <c r="B59" s="83" t="s">
        <v>182</v>
      </c>
      <c r="C59" s="78" t="s">
        <v>183</v>
      </c>
      <c r="D59" s="50" t="s">
        <v>184</v>
      </c>
      <c r="E59" s="79">
        <v>410</v>
      </c>
      <c r="F59" s="60" t="s">
        <v>139</v>
      </c>
      <c r="G59" s="42">
        <f t="shared" si="42"/>
        <v>95000000</v>
      </c>
      <c r="H59" s="42"/>
      <c r="I59" s="42"/>
      <c r="J59" s="42"/>
      <c r="K59" s="42"/>
      <c r="L59" s="42"/>
      <c r="M59" s="42"/>
      <c r="N59" s="42"/>
      <c r="O59" s="42">
        <f>45000000+25000000</f>
        <v>70000000</v>
      </c>
      <c r="P59" s="42"/>
      <c r="Q59" s="42"/>
      <c r="R59" s="42">
        <v>10000000</v>
      </c>
      <c r="S59" s="42"/>
      <c r="T59" s="42">
        <v>5000000</v>
      </c>
      <c r="U59" s="42">
        <v>10000000</v>
      </c>
      <c r="V59" s="42"/>
      <c r="W59" s="42"/>
      <c r="X59" s="42"/>
      <c r="Y59" s="42"/>
      <c r="Z59" s="42"/>
      <c r="AA59" s="42"/>
      <c r="AB59" s="42"/>
      <c r="AC59" s="42"/>
      <c r="AD59" s="42"/>
      <c r="AE59" s="84">
        <f t="shared" si="32"/>
        <v>0.21810643157894738</v>
      </c>
      <c r="AF59" s="42">
        <f t="shared" si="43"/>
        <v>20720111</v>
      </c>
      <c r="AG59" s="42"/>
      <c r="AH59" s="42"/>
      <c r="AI59" s="42"/>
      <c r="AJ59" s="42"/>
      <c r="AK59" s="42"/>
      <c r="AL59" s="42"/>
      <c r="AM59" s="42"/>
      <c r="AN59" s="42">
        <f>+'[3]NOVIEMBRE 2019'!$Q$2492</f>
        <v>20720111</v>
      </c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>
        <f t="shared" si="3"/>
        <v>0.78189356842105262</v>
      </c>
      <c r="BE59" s="42">
        <f t="shared" si="44"/>
        <v>74279889</v>
      </c>
      <c r="BF59" s="42">
        <f t="shared" si="45"/>
        <v>0</v>
      </c>
      <c r="BG59" s="42">
        <f t="shared" si="45"/>
        <v>0</v>
      </c>
      <c r="BH59" s="42">
        <f t="shared" si="45"/>
        <v>0</v>
      </c>
      <c r="BI59" s="42">
        <f t="shared" si="46"/>
        <v>0</v>
      </c>
      <c r="BJ59" s="42">
        <f t="shared" si="57"/>
        <v>0</v>
      </c>
      <c r="BK59" s="42">
        <f t="shared" si="57"/>
        <v>0</v>
      </c>
      <c r="BL59" s="42">
        <f t="shared" si="57"/>
        <v>0</v>
      </c>
      <c r="BM59" s="42">
        <f t="shared" si="57"/>
        <v>49279889</v>
      </c>
      <c r="BN59" s="42">
        <f t="shared" si="57"/>
        <v>0</v>
      </c>
      <c r="BO59" s="42">
        <f t="shared" si="57"/>
        <v>0</v>
      </c>
      <c r="BP59" s="42">
        <f t="shared" si="57"/>
        <v>10000000</v>
      </c>
      <c r="BQ59" s="42">
        <f t="shared" si="57"/>
        <v>0</v>
      </c>
      <c r="BR59" s="42">
        <f t="shared" si="57"/>
        <v>5000000</v>
      </c>
      <c r="BS59" s="42">
        <f t="shared" si="57"/>
        <v>10000000</v>
      </c>
      <c r="BT59" s="42">
        <f t="shared" si="57"/>
        <v>0</v>
      </c>
      <c r="BU59" s="42">
        <f t="shared" si="57"/>
        <v>0</v>
      </c>
      <c r="BV59" s="42">
        <f t="shared" si="57"/>
        <v>0</v>
      </c>
      <c r="BW59" s="42">
        <f t="shared" si="57"/>
        <v>0</v>
      </c>
      <c r="BX59" s="42">
        <f t="shared" si="57"/>
        <v>0</v>
      </c>
      <c r="BY59" s="42">
        <f t="shared" si="55"/>
        <v>0</v>
      </c>
      <c r="BZ59" s="42">
        <f t="shared" si="48"/>
        <v>0</v>
      </c>
      <c r="CA59" s="42"/>
      <c r="CB59" s="42">
        <f t="shared" si="49"/>
        <v>0</v>
      </c>
      <c r="CC59" s="43">
        <f t="shared" si="8"/>
        <v>0.16636562105263158</v>
      </c>
      <c r="CD59" s="42">
        <f t="shared" si="50"/>
        <v>15804734</v>
      </c>
      <c r="CE59" s="42"/>
      <c r="CF59" s="42"/>
      <c r="CG59" s="42"/>
      <c r="CH59" s="42"/>
      <c r="CI59" s="42"/>
      <c r="CJ59" s="42"/>
      <c r="CK59" s="42"/>
      <c r="CL59" s="42">
        <f>+'[3]NOVIEMBRE 2019'!$H$2490</f>
        <v>15804734</v>
      </c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3">
        <f t="shared" si="10"/>
        <v>0.83363437894736836</v>
      </c>
      <c r="DC59" s="42">
        <f t="shared" si="51"/>
        <v>79195266</v>
      </c>
      <c r="DD59" s="42">
        <f t="shared" si="58"/>
        <v>0</v>
      </c>
      <c r="DE59" s="42">
        <f t="shared" si="58"/>
        <v>0</v>
      </c>
      <c r="DF59" s="42">
        <f t="shared" si="58"/>
        <v>0</v>
      </c>
      <c r="DG59" s="42">
        <f t="shared" si="58"/>
        <v>0</v>
      </c>
      <c r="DH59" s="42">
        <f t="shared" si="58"/>
        <v>0</v>
      </c>
      <c r="DI59" s="42">
        <f t="shared" si="58"/>
        <v>0</v>
      </c>
      <c r="DJ59" s="42">
        <f t="shared" si="58"/>
        <v>0</v>
      </c>
      <c r="DK59" s="42">
        <f t="shared" si="58"/>
        <v>54195266</v>
      </c>
      <c r="DL59" s="42">
        <f t="shared" si="58"/>
        <v>0</v>
      </c>
      <c r="DM59" s="42">
        <f t="shared" si="58"/>
        <v>0</v>
      </c>
      <c r="DN59" s="42">
        <f t="shared" si="58"/>
        <v>10000000</v>
      </c>
      <c r="DO59" s="42">
        <f t="shared" si="58"/>
        <v>0</v>
      </c>
      <c r="DP59" s="42">
        <f t="shared" si="58"/>
        <v>5000000</v>
      </c>
      <c r="DQ59" s="42">
        <f t="shared" si="58"/>
        <v>10000000</v>
      </c>
      <c r="DR59" s="42">
        <f t="shared" si="58"/>
        <v>0</v>
      </c>
      <c r="DS59" s="42">
        <f t="shared" si="56"/>
        <v>0</v>
      </c>
      <c r="DT59" s="42">
        <f t="shared" si="53"/>
        <v>0</v>
      </c>
      <c r="DU59" s="42">
        <f t="shared" si="53"/>
        <v>0</v>
      </c>
      <c r="DV59" s="42">
        <f t="shared" si="53"/>
        <v>0</v>
      </c>
      <c r="DW59" s="42">
        <f t="shared" si="53"/>
        <v>0</v>
      </c>
      <c r="DX59" s="42">
        <f t="shared" si="53"/>
        <v>0</v>
      </c>
      <c r="DY59" s="42"/>
      <c r="DZ59" s="42">
        <f t="shared" si="54"/>
        <v>0</v>
      </c>
      <c r="EB59" s="47">
        <f t="shared" si="15"/>
        <v>95000000</v>
      </c>
      <c r="EC59" s="47">
        <f t="shared" si="16"/>
        <v>95000000</v>
      </c>
      <c r="ED59" s="47">
        <f t="shared" si="17"/>
        <v>95000000</v>
      </c>
    </row>
    <row r="60" spans="1:134" ht="28.8" customHeight="1" x14ac:dyDescent="0.3">
      <c r="A60" s="82"/>
      <c r="B60" s="85"/>
      <c r="C60" s="38" t="s">
        <v>185</v>
      </c>
      <c r="D60" s="50" t="s">
        <v>186</v>
      </c>
      <c r="E60" s="40">
        <v>410</v>
      </c>
      <c r="F60" s="41" t="s">
        <v>187</v>
      </c>
      <c r="G60" s="42">
        <f t="shared" si="42"/>
        <v>261502304</v>
      </c>
      <c r="H60" s="42"/>
      <c r="I60" s="42"/>
      <c r="J60" s="42"/>
      <c r="K60" s="42"/>
      <c r="L60" s="42"/>
      <c r="M60" s="42"/>
      <c r="N60" s="42"/>
      <c r="O60" s="42">
        <v>150000000</v>
      </c>
      <c r="P60" s="42"/>
      <c r="Q60" s="42"/>
      <c r="R60" s="42">
        <v>30000000</v>
      </c>
      <c r="S60" s="42"/>
      <c r="T60" s="42">
        <v>20000000</v>
      </c>
      <c r="U60" s="42">
        <f>30000000+10000000</f>
        <v>40000000</v>
      </c>
      <c r="V60" s="42"/>
      <c r="W60" s="42"/>
      <c r="X60" s="42"/>
      <c r="Y60" s="42"/>
      <c r="Z60" s="42"/>
      <c r="AA60" s="42"/>
      <c r="AB60" s="42"/>
      <c r="AC60" s="42"/>
      <c r="AD60" s="42">
        <f>21502304</f>
        <v>21502304</v>
      </c>
      <c r="AE60" s="43">
        <f t="shared" si="32"/>
        <v>0.43443331956264525</v>
      </c>
      <c r="AF60" s="42">
        <f t="shared" si="43"/>
        <v>113605314</v>
      </c>
      <c r="AG60" s="42"/>
      <c r="AH60" s="42"/>
      <c r="AI60" s="42"/>
      <c r="AJ60" s="42"/>
      <c r="AK60" s="42"/>
      <c r="AL60" s="42"/>
      <c r="AM60" s="42"/>
      <c r="AN60" s="42">
        <f>+'[3]NOVIEMBRE 2019'!$Q$2519</f>
        <v>89325875</v>
      </c>
      <c r="AO60" s="42"/>
      <c r="AP60" s="42"/>
      <c r="AQ60" s="42">
        <f>+'[1]OCTUBRE 2019'!$T$2256</f>
        <v>5005939</v>
      </c>
      <c r="AR60" s="42"/>
      <c r="AS60" s="42"/>
      <c r="AT60" s="42">
        <f>+'[2]SEPTIEMBRE 2019'!$W$2011</f>
        <v>7911500</v>
      </c>
      <c r="AU60" s="42"/>
      <c r="AV60" s="42"/>
      <c r="AW60" s="42"/>
      <c r="AX60" s="42"/>
      <c r="AY60" s="42"/>
      <c r="AZ60" s="42"/>
      <c r="BA60" s="42"/>
      <c r="BB60" s="42"/>
      <c r="BC60" s="42">
        <f>+'[3]NOVIEMBRE 2019'!$AG$2519</f>
        <v>11362000</v>
      </c>
      <c r="BD60" s="43">
        <f t="shared" si="3"/>
        <v>0.5655666804373547</v>
      </c>
      <c r="BE60" s="42">
        <f t="shared" si="44"/>
        <v>147896990</v>
      </c>
      <c r="BF60" s="42">
        <f t="shared" si="45"/>
        <v>0</v>
      </c>
      <c r="BG60" s="42">
        <f t="shared" si="45"/>
        <v>0</v>
      </c>
      <c r="BH60" s="42">
        <f t="shared" si="45"/>
        <v>0</v>
      </c>
      <c r="BI60" s="42">
        <f t="shared" si="46"/>
        <v>0</v>
      </c>
      <c r="BJ60" s="42">
        <f t="shared" si="57"/>
        <v>0</v>
      </c>
      <c r="BK60" s="42">
        <f t="shared" si="57"/>
        <v>0</v>
      </c>
      <c r="BL60" s="42">
        <f t="shared" si="57"/>
        <v>0</v>
      </c>
      <c r="BM60" s="42">
        <f t="shared" si="57"/>
        <v>60674125</v>
      </c>
      <c r="BN60" s="42">
        <f t="shared" si="57"/>
        <v>0</v>
      </c>
      <c r="BO60" s="42">
        <f t="shared" si="57"/>
        <v>0</v>
      </c>
      <c r="BP60" s="42">
        <f t="shared" si="57"/>
        <v>24994061</v>
      </c>
      <c r="BQ60" s="42">
        <f t="shared" si="57"/>
        <v>0</v>
      </c>
      <c r="BR60" s="42">
        <f t="shared" si="57"/>
        <v>20000000</v>
      </c>
      <c r="BS60" s="42">
        <f t="shared" si="57"/>
        <v>32088500</v>
      </c>
      <c r="BT60" s="42">
        <f t="shared" si="57"/>
        <v>0</v>
      </c>
      <c r="BU60" s="42">
        <f t="shared" si="57"/>
        <v>0</v>
      </c>
      <c r="BV60" s="42">
        <f t="shared" si="57"/>
        <v>0</v>
      </c>
      <c r="BW60" s="42">
        <f t="shared" si="57"/>
        <v>0</v>
      </c>
      <c r="BX60" s="42">
        <f t="shared" si="57"/>
        <v>0</v>
      </c>
      <c r="BY60" s="42">
        <f t="shared" si="55"/>
        <v>0</v>
      </c>
      <c r="BZ60" s="42">
        <f t="shared" si="48"/>
        <v>0</v>
      </c>
      <c r="CA60" s="42"/>
      <c r="CB60" s="42">
        <f t="shared" si="49"/>
        <v>10140304</v>
      </c>
      <c r="CC60" s="43">
        <f t="shared" si="8"/>
        <v>0.37350043386233417</v>
      </c>
      <c r="CD60" s="42">
        <f t="shared" si="50"/>
        <v>97671224</v>
      </c>
      <c r="CE60" s="42"/>
      <c r="CF60" s="42"/>
      <c r="CG60" s="42"/>
      <c r="CH60" s="42"/>
      <c r="CI60" s="42"/>
      <c r="CJ60" s="42"/>
      <c r="CK60" s="42"/>
      <c r="CL60" s="42">
        <f>+'[3]NOVIEMBRE 2019'!$H$2520+'[3]NOVIEMBRE 2019'!$H$2522+'[3]NOVIEMBRE 2019'!$H$2531+'[3]NOVIEMBRE 2019'!$H$2534+'[3]NOVIEMBRE 2019'!$H$2540+'[3]NOVIEMBRE 2019'!$H$2542+'[3]NOVIEMBRE 2019'!$H$2543+'[3]NOVIEMBRE 2019'!$H$2544+'[3]NOVIEMBRE 2019'!$H$2545+'[3]NOVIEMBRE 2019'!$H$2546+'[3]NOVIEMBRE 2019'!$H$2547+'[3]NOVIEMBRE 2019'!$H$2548+'[3]NOVIEMBRE 2019'!$H$2552+'[3]NOVIEMBRE 2019'!$H$2556+'[3]NOVIEMBRE 2019'!$H$2557+'[3]NOVIEMBRE 2019'!$H$2558+'[3]NOVIEMBRE 2019'!$H$2559+'[3]NOVIEMBRE 2019'!$H$2561+'[3]NOVIEMBRE 2019'!$H$2562+'[3]NOVIEMBRE 2019'!$H$2564+'[3]NOVIEMBRE 2019'!$H$2565+'[3]NOVIEMBRE 2019'!$H$2566+'[3]NOVIEMBRE 2019'!$H$2567+'[3]NOVIEMBRE 2019'!$H$2568+'[3]NOVIEMBRE 2019'!$H$2571+'[3]NOVIEMBRE 2019'!$H$2572+'[3]NOVIEMBRE 2019'!$H$2574+'[3]NOVIEMBRE 2019'!$H$2575+'[3]NOVIEMBRE 2019'!$H$2578+'[3]NOVIEMBRE 2019'!$H$2579+'[3]NOVIEMBRE 2019'!$H$2580+'[3]NOVIEMBRE 2019'!$H$2581+'[3]NOVIEMBRE 2019'!$H$2582+'[3]NOVIEMBRE 2019'!$H$2583+'[3]NOVIEMBRE 2019'!$H$2584+'[3]NOVIEMBRE 2019'!$H$2588+'[3]NOVIEMBRE 2019'!$H$2589+'[3]NOVIEMBRE 2019'!$H$2590+'[3]NOVIEMBRE 2019'!$H$2591+'[3]NOVIEMBRE 2019'!$H$2592+'[3]NOVIEMBRE 2019'!$H$2593+'[3]NOVIEMBRE 2019'!$H$2594+'[3]NOVIEMBRE 2019'!$H$2595+'[3]NOVIEMBRE 2019'!$H$2596+'[3]NOVIEMBRE 2019'!$H$2597+'[3]NOVIEMBRE 2019'!$H$2599+'[3]NOVIEMBRE 2019'!$H$2600+'[3]NOVIEMBRE 2019'!$H$2602+'[3]NOVIEMBRE 2019'!$H$2603+'[3]NOVIEMBRE 2019'!$H$2604+'[3]NOVIEMBRE 2019'!$H$2605+'[3]NOVIEMBRE 2019'!$H$2606+'[3]NOVIEMBRE 2019'!$H$2607</f>
        <v>73757018</v>
      </c>
      <c r="CM60" s="42"/>
      <c r="CN60" s="42"/>
      <c r="CO60" s="42">
        <f>+'[3]NOVIEMBRE 2019'!$H$2524+'[3]NOVIEMBRE 2019'!$H$2530+'[3]NOVIEMBRE 2019'!$H$2554+'[3]NOVIEMBRE 2019'!$H$2560+'[3]NOVIEMBRE 2019'!$H$2573+'[3]NOVIEMBRE 2019'!$H$2587</f>
        <v>4865259</v>
      </c>
      <c r="CP60" s="42"/>
      <c r="CQ60" s="42"/>
      <c r="CR60" s="42">
        <f>+'[3]NOVIEMBRE 2019'!$H$2529+'[3]NOVIEMBRE 2019'!$H$2532+'[3]NOVIEMBRE 2019'!$H$2536+'[3]NOVIEMBRE 2019'!$H$2539+'[3]NOVIEMBRE 2019'!$H$2541+'[3]NOVIEMBRE 2019'!$H$2570</f>
        <v>7686947</v>
      </c>
      <c r="CS60" s="42"/>
      <c r="CT60" s="42"/>
      <c r="CU60" s="42"/>
      <c r="CV60" s="42"/>
      <c r="CW60" s="42"/>
      <c r="CX60" s="42"/>
      <c r="CY60" s="42"/>
      <c r="CZ60" s="42"/>
      <c r="DA60" s="42">
        <f>+'[3]NOVIEMBRE 2019'!$H$2563+'[3]NOVIEMBRE 2019'!$H$2577+'[3]NOVIEMBRE 2019'!$H$2585+'[3]NOVIEMBRE 2019'!$H$2586+'[3]NOVIEMBRE 2019'!$H$2601</f>
        <v>11362000</v>
      </c>
      <c r="DB60" s="43">
        <f t="shared" si="10"/>
        <v>0.62649956613766578</v>
      </c>
      <c r="DC60" s="42">
        <f t="shared" si="51"/>
        <v>163831080</v>
      </c>
      <c r="DD60" s="42">
        <f t="shared" si="58"/>
        <v>0</v>
      </c>
      <c r="DE60" s="42">
        <f t="shared" si="58"/>
        <v>0</v>
      </c>
      <c r="DF60" s="42">
        <f t="shared" si="58"/>
        <v>0</v>
      </c>
      <c r="DG60" s="42">
        <f t="shared" si="58"/>
        <v>0</v>
      </c>
      <c r="DH60" s="42">
        <f t="shared" si="58"/>
        <v>0</v>
      </c>
      <c r="DI60" s="42">
        <f t="shared" si="58"/>
        <v>0</v>
      </c>
      <c r="DJ60" s="42">
        <f t="shared" si="58"/>
        <v>0</v>
      </c>
      <c r="DK60" s="42">
        <f t="shared" si="58"/>
        <v>76242982</v>
      </c>
      <c r="DL60" s="42">
        <f t="shared" si="58"/>
        <v>0</v>
      </c>
      <c r="DM60" s="42">
        <f t="shared" si="58"/>
        <v>0</v>
      </c>
      <c r="DN60" s="42">
        <f t="shared" si="58"/>
        <v>25134741</v>
      </c>
      <c r="DO60" s="42">
        <f t="shared" si="58"/>
        <v>0</v>
      </c>
      <c r="DP60" s="42">
        <f t="shared" si="58"/>
        <v>20000000</v>
      </c>
      <c r="DQ60" s="42">
        <f t="shared" si="58"/>
        <v>32313053</v>
      </c>
      <c r="DR60" s="42">
        <f t="shared" si="58"/>
        <v>0</v>
      </c>
      <c r="DS60" s="42">
        <f t="shared" si="56"/>
        <v>0</v>
      </c>
      <c r="DT60" s="42">
        <f t="shared" si="53"/>
        <v>0</v>
      </c>
      <c r="DU60" s="42">
        <f t="shared" si="53"/>
        <v>0</v>
      </c>
      <c r="DV60" s="42">
        <f t="shared" si="53"/>
        <v>0</v>
      </c>
      <c r="DW60" s="42">
        <f t="shared" si="53"/>
        <v>0</v>
      </c>
      <c r="DX60" s="42">
        <f t="shared" si="53"/>
        <v>0</v>
      </c>
      <c r="DY60" s="42"/>
      <c r="DZ60" s="42">
        <f t="shared" si="54"/>
        <v>10140304</v>
      </c>
      <c r="EB60" s="47">
        <f t="shared" si="15"/>
        <v>261502304</v>
      </c>
      <c r="EC60" s="47">
        <f t="shared" si="16"/>
        <v>261502304</v>
      </c>
      <c r="ED60" s="47">
        <f t="shared" si="17"/>
        <v>261502304</v>
      </c>
    </row>
    <row r="61" spans="1:134" ht="29.4" customHeight="1" x14ac:dyDescent="0.3">
      <c r="A61" s="82"/>
      <c r="B61" s="85"/>
      <c r="C61" s="38" t="s">
        <v>188</v>
      </c>
      <c r="D61" s="50" t="s">
        <v>189</v>
      </c>
      <c r="E61" s="40">
        <v>410</v>
      </c>
      <c r="F61" s="41" t="s">
        <v>190</v>
      </c>
      <c r="G61" s="42">
        <f t="shared" si="42"/>
        <v>150000000</v>
      </c>
      <c r="H61" s="42"/>
      <c r="I61" s="42"/>
      <c r="J61" s="42"/>
      <c r="K61" s="42"/>
      <c r="L61" s="42"/>
      <c r="M61" s="42"/>
      <c r="N61" s="42"/>
      <c r="O61" s="42">
        <v>50000000</v>
      </c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>
        <v>100000000</v>
      </c>
      <c r="AA61" s="42"/>
      <c r="AB61" s="42"/>
      <c r="AC61" s="42"/>
      <c r="AD61" s="42">
        <f>15000000-15000000</f>
        <v>0</v>
      </c>
      <c r="AE61" s="43">
        <f t="shared" si="32"/>
        <v>1</v>
      </c>
      <c r="AF61" s="42">
        <f t="shared" si="43"/>
        <v>150000000</v>
      </c>
      <c r="AG61" s="42"/>
      <c r="AH61" s="42"/>
      <c r="AI61" s="42"/>
      <c r="AJ61" s="42"/>
      <c r="AK61" s="42"/>
      <c r="AL61" s="42"/>
      <c r="AM61" s="42"/>
      <c r="AN61" s="42">
        <f>+'[7]MAYO 2019'!$P$1080</f>
        <v>50000000</v>
      </c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>
        <f>+'[7]MAYO 2019'!$AA$1080</f>
        <v>100000000</v>
      </c>
      <c r="AZ61" s="42"/>
      <c r="BA61" s="42"/>
      <c r="BB61" s="42"/>
      <c r="BC61" s="42"/>
      <c r="BD61" s="43">
        <f t="shared" si="3"/>
        <v>0</v>
      </c>
      <c r="BE61" s="42">
        <f t="shared" si="44"/>
        <v>0</v>
      </c>
      <c r="BF61" s="42">
        <f t="shared" si="45"/>
        <v>0</v>
      </c>
      <c r="BG61" s="42">
        <f t="shared" si="45"/>
        <v>0</v>
      </c>
      <c r="BH61" s="42">
        <f t="shared" si="45"/>
        <v>0</v>
      </c>
      <c r="BI61" s="42">
        <f t="shared" si="46"/>
        <v>0</v>
      </c>
      <c r="BJ61" s="42">
        <f t="shared" si="57"/>
        <v>0</v>
      </c>
      <c r="BK61" s="42">
        <f t="shared" si="57"/>
        <v>0</v>
      </c>
      <c r="BL61" s="42">
        <f t="shared" si="57"/>
        <v>0</v>
      </c>
      <c r="BM61" s="42">
        <f t="shared" si="57"/>
        <v>0</v>
      </c>
      <c r="BN61" s="42">
        <f t="shared" si="57"/>
        <v>0</v>
      </c>
      <c r="BO61" s="42">
        <f t="shared" si="57"/>
        <v>0</v>
      </c>
      <c r="BP61" s="42">
        <f t="shared" si="57"/>
        <v>0</v>
      </c>
      <c r="BQ61" s="42">
        <f t="shared" si="57"/>
        <v>0</v>
      </c>
      <c r="BR61" s="42">
        <f t="shared" si="57"/>
        <v>0</v>
      </c>
      <c r="BS61" s="42">
        <f t="shared" si="57"/>
        <v>0</v>
      </c>
      <c r="BT61" s="42">
        <f t="shared" si="57"/>
        <v>0</v>
      </c>
      <c r="BU61" s="42">
        <f t="shared" si="57"/>
        <v>0</v>
      </c>
      <c r="BV61" s="42">
        <f t="shared" si="57"/>
        <v>0</v>
      </c>
      <c r="BW61" s="42">
        <f t="shared" si="57"/>
        <v>0</v>
      </c>
      <c r="BX61" s="42">
        <f t="shared" si="57"/>
        <v>0</v>
      </c>
      <c r="BY61" s="42">
        <f t="shared" si="55"/>
        <v>0</v>
      </c>
      <c r="BZ61" s="42">
        <f t="shared" si="48"/>
        <v>0</v>
      </c>
      <c r="CA61" s="42"/>
      <c r="CB61" s="42">
        <f t="shared" si="49"/>
        <v>0</v>
      </c>
      <c r="CC61" s="43">
        <f t="shared" si="8"/>
        <v>0.67388324666666666</v>
      </c>
      <c r="CD61" s="42">
        <f t="shared" si="50"/>
        <v>101082487</v>
      </c>
      <c r="CE61" s="42"/>
      <c r="CF61" s="42"/>
      <c r="CG61" s="42"/>
      <c r="CH61" s="42"/>
      <c r="CI61" s="42"/>
      <c r="CJ61" s="42"/>
      <c r="CK61" s="42"/>
      <c r="CL61" s="42">
        <f>+'[12]JULIO 2019'!$H$1557</f>
        <v>31999995</v>
      </c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>
        <f>+'[12]JULIO 2019'!$H$1543+'[12]JULIO 2019'!$H$1545</f>
        <v>69082492</v>
      </c>
      <c r="CX61" s="42"/>
      <c r="CY61" s="42"/>
      <c r="CZ61" s="42"/>
      <c r="DA61" s="42"/>
      <c r="DB61" s="43">
        <f t="shared" si="10"/>
        <v>0.32611675333333334</v>
      </c>
      <c r="DC61" s="42">
        <f t="shared" si="51"/>
        <v>48917513</v>
      </c>
      <c r="DD61" s="42">
        <f t="shared" si="58"/>
        <v>0</v>
      </c>
      <c r="DE61" s="42">
        <f t="shared" si="58"/>
        <v>0</v>
      </c>
      <c r="DF61" s="42">
        <f t="shared" si="58"/>
        <v>0</v>
      </c>
      <c r="DG61" s="42">
        <f t="shared" si="58"/>
        <v>0</v>
      </c>
      <c r="DH61" s="42">
        <f t="shared" si="58"/>
        <v>0</v>
      </c>
      <c r="DI61" s="42">
        <f t="shared" si="58"/>
        <v>0</v>
      </c>
      <c r="DJ61" s="42">
        <f t="shared" si="58"/>
        <v>0</v>
      </c>
      <c r="DK61" s="42">
        <f t="shared" si="58"/>
        <v>18000005</v>
      </c>
      <c r="DL61" s="42">
        <f t="shared" si="58"/>
        <v>0</v>
      </c>
      <c r="DM61" s="42">
        <f t="shared" si="58"/>
        <v>0</v>
      </c>
      <c r="DN61" s="42">
        <f t="shared" si="58"/>
        <v>0</v>
      </c>
      <c r="DO61" s="42">
        <f t="shared" si="58"/>
        <v>0</v>
      </c>
      <c r="DP61" s="42">
        <f t="shared" si="58"/>
        <v>0</v>
      </c>
      <c r="DQ61" s="42">
        <f t="shared" si="58"/>
        <v>0</v>
      </c>
      <c r="DR61" s="42">
        <f t="shared" si="58"/>
        <v>0</v>
      </c>
      <c r="DS61" s="42">
        <f t="shared" si="56"/>
        <v>0</v>
      </c>
      <c r="DT61" s="42">
        <f t="shared" si="53"/>
        <v>0</v>
      </c>
      <c r="DU61" s="42">
        <f t="shared" si="53"/>
        <v>0</v>
      </c>
      <c r="DV61" s="42">
        <f t="shared" si="53"/>
        <v>30917508</v>
      </c>
      <c r="DW61" s="42">
        <f t="shared" si="53"/>
        <v>0</v>
      </c>
      <c r="DX61" s="42">
        <f t="shared" si="53"/>
        <v>0</v>
      </c>
      <c r="DY61" s="42"/>
      <c r="DZ61" s="42">
        <f t="shared" si="54"/>
        <v>0</v>
      </c>
      <c r="EB61" s="47">
        <f t="shared" si="15"/>
        <v>150000000</v>
      </c>
      <c r="EC61" s="47">
        <f t="shared" si="16"/>
        <v>150000000</v>
      </c>
      <c r="ED61" s="47">
        <f t="shared" si="17"/>
        <v>150000000</v>
      </c>
    </row>
    <row r="62" spans="1:134" ht="26.4" customHeight="1" x14ac:dyDescent="0.3">
      <c r="A62" s="82"/>
      <c r="B62" s="86"/>
      <c r="C62" s="38" t="s">
        <v>191</v>
      </c>
      <c r="D62" s="50" t="s">
        <v>192</v>
      </c>
      <c r="E62" s="40">
        <v>410</v>
      </c>
      <c r="F62" s="41" t="s">
        <v>139</v>
      </c>
      <c r="G62" s="42">
        <f t="shared" si="42"/>
        <v>80000000</v>
      </c>
      <c r="H62" s="42"/>
      <c r="I62" s="42"/>
      <c r="J62" s="42"/>
      <c r="K62" s="42"/>
      <c r="L62" s="42"/>
      <c r="M62" s="42"/>
      <c r="N62" s="42"/>
      <c r="O62" s="42">
        <v>80000000</v>
      </c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3">
        <f t="shared" si="32"/>
        <v>0.77730809999999995</v>
      </c>
      <c r="AF62" s="42">
        <f t="shared" si="43"/>
        <v>62184648</v>
      </c>
      <c r="AG62" s="42"/>
      <c r="AH62" s="42"/>
      <c r="AI62" s="42"/>
      <c r="AJ62" s="42"/>
      <c r="AK62" s="42"/>
      <c r="AL62" s="42"/>
      <c r="AM62" s="42"/>
      <c r="AN62" s="42">
        <f>+'[2]SEPTIEMBRE 2019'!$Q$2093</f>
        <v>62184648</v>
      </c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3">
        <f t="shared" si="3"/>
        <v>0.22269190000000005</v>
      </c>
      <c r="BE62" s="42">
        <f t="shared" si="44"/>
        <v>17815352</v>
      </c>
      <c r="BF62" s="42">
        <f t="shared" si="45"/>
        <v>0</v>
      </c>
      <c r="BG62" s="42">
        <f t="shared" si="45"/>
        <v>0</v>
      </c>
      <c r="BH62" s="42">
        <f t="shared" si="45"/>
        <v>0</v>
      </c>
      <c r="BI62" s="42">
        <f t="shared" si="46"/>
        <v>0</v>
      </c>
      <c r="BJ62" s="42">
        <f t="shared" si="57"/>
        <v>0</v>
      </c>
      <c r="BK62" s="42">
        <f t="shared" si="57"/>
        <v>0</v>
      </c>
      <c r="BL62" s="42">
        <f t="shared" si="57"/>
        <v>0</v>
      </c>
      <c r="BM62" s="42">
        <f t="shared" si="57"/>
        <v>17815352</v>
      </c>
      <c r="BN62" s="42">
        <f t="shared" si="57"/>
        <v>0</v>
      </c>
      <c r="BO62" s="42">
        <f t="shared" si="57"/>
        <v>0</v>
      </c>
      <c r="BP62" s="42">
        <f t="shared" si="57"/>
        <v>0</v>
      </c>
      <c r="BQ62" s="42">
        <f t="shared" si="57"/>
        <v>0</v>
      </c>
      <c r="BR62" s="42">
        <f t="shared" si="57"/>
        <v>0</v>
      </c>
      <c r="BS62" s="42">
        <f t="shared" si="57"/>
        <v>0</v>
      </c>
      <c r="BT62" s="42">
        <f t="shared" si="57"/>
        <v>0</v>
      </c>
      <c r="BU62" s="42">
        <f t="shared" si="57"/>
        <v>0</v>
      </c>
      <c r="BV62" s="42">
        <f t="shared" si="57"/>
        <v>0</v>
      </c>
      <c r="BW62" s="42">
        <f t="shared" si="57"/>
        <v>0</v>
      </c>
      <c r="BX62" s="42">
        <f t="shared" si="57"/>
        <v>0</v>
      </c>
      <c r="BY62" s="42">
        <f t="shared" si="55"/>
        <v>0</v>
      </c>
      <c r="BZ62" s="42">
        <f t="shared" si="48"/>
        <v>0</v>
      </c>
      <c r="CA62" s="42"/>
      <c r="CB62" s="42">
        <f t="shared" si="49"/>
        <v>0</v>
      </c>
      <c r="CC62" s="43">
        <f t="shared" si="8"/>
        <v>0.5846618375</v>
      </c>
      <c r="CD62" s="42">
        <f t="shared" si="50"/>
        <v>46772947</v>
      </c>
      <c r="CE62" s="42"/>
      <c r="CF62" s="42"/>
      <c r="CG62" s="42"/>
      <c r="CH62" s="42"/>
      <c r="CI62" s="42"/>
      <c r="CJ62" s="42"/>
      <c r="CK62" s="42"/>
      <c r="CL62" s="42">
        <f>+'[1]OCTUBRE 2019'!$H$2357</f>
        <v>46772947</v>
      </c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3">
        <f t="shared" si="10"/>
        <v>0.4153381625</v>
      </c>
      <c r="DC62" s="42">
        <f t="shared" si="51"/>
        <v>33227053</v>
      </c>
      <c r="DD62" s="42">
        <f t="shared" si="58"/>
        <v>0</v>
      </c>
      <c r="DE62" s="42">
        <f t="shared" si="58"/>
        <v>0</v>
      </c>
      <c r="DF62" s="42">
        <f t="shared" si="58"/>
        <v>0</v>
      </c>
      <c r="DG62" s="42">
        <f t="shared" si="58"/>
        <v>0</v>
      </c>
      <c r="DH62" s="42">
        <f t="shared" si="58"/>
        <v>0</v>
      </c>
      <c r="DI62" s="42">
        <f t="shared" si="58"/>
        <v>0</v>
      </c>
      <c r="DJ62" s="42">
        <f t="shared" si="58"/>
        <v>0</v>
      </c>
      <c r="DK62" s="42">
        <f t="shared" si="58"/>
        <v>33227053</v>
      </c>
      <c r="DL62" s="42">
        <f t="shared" si="58"/>
        <v>0</v>
      </c>
      <c r="DM62" s="42">
        <f t="shared" si="58"/>
        <v>0</v>
      </c>
      <c r="DN62" s="42">
        <f t="shared" si="58"/>
        <v>0</v>
      </c>
      <c r="DO62" s="42">
        <f t="shared" si="58"/>
        <v>0</v>
      </c>
      <c r="DP62" s="42">
        <f t="shared" si="58"/>
        <v>0</v>
      </c>
      <c r="DQ62" s="42">
        <f t="shared" si="58"/>
        <v>0</v>
      </c>
      <c r="DR62" s="42">
        <f t="shared" si="58"/>
        <v>0</v>
      </c>
      <c r="DS62" s="42">
        <f t="shared" si="56"/>
        <v>0</v>
      </c>
      <c r="DT62" s="42">
        <f t="shared" si="53"/>
        <v>0</v>
      </c>
      <c r="DU62" s="42">
        <f t="shared" si="53"/>
        <v>0</v>
      </c>
      <c r="DV62" s="42">
        <f t="shared" si="53"/>
        <v>0</v>
      </c>
      <c r="DW62" s="42">
        <f t="shared" si="53"/>
        <v>0</v>
      </c>
      <c r="DX62" s="42">
        <f t="shared" si="53"/>
        <v>0</v>
      </c>
      <c r="DY62" s="42"/>
      <c r="DZ62" s="42">
        <f t="shared" si="54"/>
        <v>0</v>
      </c>
      <c r="EB62" s="47">
        <f t="shared" si="15"/>
        <v>80000000</v>
      </c>
      <c r="EC62" s="47">
        <f t="shared" si="16"/>
        <v>80000000</v>
      </c>
      <c r="ED62" s="47">
        <f t="shared" si="17"/>
        <v>80000000</v>
      </c>
    </row>
    <row r="63" spans="1:134" ht="25.8" customHeight="1" x14ac:dyDescent="0.3">
      <c r="A63" s="82"/>
      <c r="B63" s="83" t="s">
        <v>193</v>
      </c>
      <c r="C63" s="38" t="s">
        <v>194</v>
      </c>
      <c r="D63" s="50" t="s">
        <v>195</v>
      </c>
      <c r="E63" s="40">
        <v>410</v>
      </c>
      <c r="F63" s="41" t="s">
        <v>139</v>
      </c>
      <c r="G63" s="42">
        <f t="shared" si="42"/>
        <v>869968071</v>
      </c>
      <c r="H63" s="42"/>
      <c r="I63" s="42"/>
      <c r="J63" s="42"/>
      <c r="K63" s="42"/>
      <c r="L63" s="42"/>
      <c r="M63" s="42"/>
      <c r="N63" s="42"/>
      <c r="O63" s="42"/>
      <c r="P63" s="42">
        <f>45960534-45960534</f>
        <v>0</v>
      </c>
      <c r="Q63" s="42">
        <f>45960534-45960534</f>
        <v>0</v>
      </c>
      <c r="R63" s="42">
        <f>45960534-45960534</f>
        <v>0</v>
      </c>
      <c r="S63" s="42">
        <f>480000000+221840643</f>
        <v>701840643</v>
      </c>
      <c r="T63" s="42"/>
      <c r="U63" s="42"/>
      <c r="V63" s="42"/>
      <c r="W63" s="42"/>
      <c r="X63" s="42"/>
      <c r="Y63" s="42">
        <v>52565530</v>
      </c>
      <c r="Z63" s="42">
        <v>105561898</v>
      </c>
      <c r="AA63" s="42"/>
      <c r="AB63" s="42"/>
      <c r="AC63" s="42"/>
      <c r="AD63" s="42">
        <f>10000000</f>
        <v>10000000</v>
      </c>
      <c r="AE63" s="43">
        <f t="shared" si="32"/>
        <v>0.97782432523319585</v>
      </c>
      <c r="AF63" s="42">
        <f t="shared" si="43"/>
        <v>850675942</v>
      </c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>
        <f>+'[3]NOVIEMBRE 2019'!$U$2661</f>
        <v>699981600</v>
      </c>
      <c r="AS63" s="42"/>
      <c r="AT63" s="42"/>
      <c r="AU63" s="42"/>
      <c r="AV63" s="42"/>
      <c r="AW63" s="42"/>
      <c r="AX63" s="42">
        <f>+'[3]NOVIEMBRE 2019'!$AA$2661</f>
        <v>46996115</v>
      </c>
      <c r="AY63" s="42">
        <f>+'[7]MAYO 2019'!$AA$1107</f>
        <v>103698227</v>
      </c>
      <c r="AZ63" s="42"/>
      <c r="BA63" s="42"/>
      <c r="BB63" s="42"/>
      <c r="BC63" s="42"/>
      <c r="BD63" s="43">
        <f t="shared" si="3"/>
        <v>2.2175674766804154E-2</v>
      </c>
      <c r="BE63" s="42">
        <f t="shared" si="44"/>
        <v>19292129</v>
      </c>
      <c r="BF63" s="42">
        <f t="shared" si="45"/>
        <v>0</v>
      </c>
      <c r="BG63" s="42">
        <f t="shared" si="45"/>
        <v>0</v>
      </c>
      <c r="BH63" s="42">
        <f t="shared" si="45"/>
        <v>0</v>
      </c>
      <c r="BI63" s="42">
        <f t="shared" si="46"/>
        <v>0</v>
      </c>
      <c r="BJ63" s="42">
        <f t="shared" si="57"/>
        <v>0</v>
      </c>
      <c r="BK63" s="42">
        <f t="shared" si="57"/>
        <v>0</v>
      </c>
      <c r="BL63" s="42">
        <f t="shared" si="57"/>
        <v>0</v>
      </c>
      <c r="BM63" s="42">
        <f t="shared" si="57"/>
        <v>0</v>
      </c>
      <c r="BN63" s="42">
        <f t="shared" si="57"/>
        <v>0</v>
      </c>
      <c r="BO63" s="42">
        <f t="shared" si="57"/>
        <v>0</v>
      </c>
      <c r="BP63" s="42">
        <f t="shared" si="57"/>
        <v>0</v>
      </c>
      <c r="BQ63" s="42">
        <f t="shared" si="57"/>
        <v>1859043</v>
      </c>
      <c r="BR63" s="42">
        <f t="shared" si="57"/>
        <v>0</v>
      </c>
      <c r="BS63" s="42">
        <f t="shared" si="57"/>
        <v>0</v>
      </c>
      <c r="BT63" s="42">
        <f t="shared" si="57"/>
        <v>0</v>
      </c>
      <c r="BU63" s="42">
        <f t="shared" si="57"/>
        <v>0</v>
      </c>
      <c r="BV63" s="42">
        <f t="shared" si="57"/>
        <v>0</v>
      </c>
      <c r="BW63" s="42">
        <f t="shared" si="57"/>
        <v>5569415</v>
      </c>
      <c r="BX63" s="42">
        <f t="shared" si="57"/>
        <v>1863671</v>
      </c>
      <c r="BY63" s="42">
        <f t="shared" si="55"/>
        <v>0</v>
      </c>
      <c r="BZ63" s="42">
        <f t="shared" si="48"/>
        <v>0</v>
      </c>
      <c r="CA63" s="42"/>
      <c r="CB63" s="42">
        <f t="shared" si="49"/>
        <v>10000000</v>
      </c>
      <c r="CC63" s="43">
        <f t="shared" si="8"/>
        <v>0.77529350154736887</v>
      </c>
      <c r="CD63" s="42">
        <f t="shared" si="50"/>
        <v>674480592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>
        <f>+'[3]NOVIEMBRE 2019'!$H$2659-CV63-CW63</f>
        <v>556842928</v>
      </c>
      <c r="CQ63" s="42"/>
      <c r="CR63" s="42"/>
      <c r="CS63" s="42"/>
      <c r="CT63" s="42"/>
      <c r="CU63" s="42"/>
      <c r="CV63" s="42">
        <f>+'[3]NOVIEMBRE 2019'!$H$2990+'[3]NOVIEMBRE 2019'!$H$2991+'[3]NOVIEMBRE 2019'!$H$2994+'[3]NOVIEMBRE 2019'!$H$2995+'[3]NOVIEMBRE 2019'!$H$2996+'[3]NOVIEMBRE 2019'!$H$2998+'[3]NOVIEMBRE 2019'!$H$2999</f>
        <v>15663110</v>
      </c>
      <c r="CW63" s="42">
        <f>+'[3]NOVIEMBRE 2019'!$H$2662+'[3]NOVIEMBRE 2019'!$H$2664+'[3]NOVIEMBRE 2019'!$H$2666+'[3]NOVIEMBRE 2019'!$H$2669+'[3]NOVIEMBRE 2019'!$H$2671+'[3]NOVIEMBRE 2019'!$H$2673+'[3]NOVIEMBRE 2019'!$H$2675+'[3]NOVIEMBRE 2019'!$H$2678+'[3]NOVIEMBRE 2019'!$H$2680+'[3]NOVIEMBRE 2019'!$H$2683+'[3]NOVIEMBRE 2019'!$H$2684+'[3]NOVIEMBRE 2019'!$H$2685+'[3]NOVIEMBRE 2019'!$H$2687+'[3]NOVIEMBRE 2019'!$H$2691+'[3]NOVIEMBRE 2019'!$H$2692+'[3]NOVIEMBRE 2019'!$H$2693+'[3]NOVIEMBRE 2019'!$H$2694+'[3]NOVIEMBRE 2019'!$H$2695+'[3]NOVIEMBRE 2019'!$H$2696+'[3]NOVIEMBRE 2019'!$H$2697+'[3]NOVIEMBRE 2019'!$H$2699</f>
        <v>101974554</v>
      </c>
      <c r="CX63" s="42"/>
      <c r="CY63" s="42"/>
      <c r="CZ63" s="42"/>
      <c r="DA63" s="42"/>
      <c r="DB63" s="43">
        <f t="shared" si="10"/>
        <v>0.22470649845263113</v>
      </c>
      <c r="DC63" s="42">
        <f t="shared" si="51"/>
        <v>195487479</v>
      </c>
      <c r="DD63" s="42">
        <f t="shared" si="58"/>
        <v>0</v>
      </c>
      <c r="DE63" s="42">
        <f t="shared" si="58"/>
        <v>0</v>
      </c>
      <c r="DF63" s="42">
        <f t="shared" si="58"/>
        <v>0</v>
      </c>
      <c r="DG63" s="42">
        <f t="shared" si="58"/>
        <v>0</v>
      </c>
      <c r="DH63" s="42">
        <f t="shared" si="58"/>
        <v>0</v>
      </c>
      <c r="DI63" s="42">
        <f t="shared" si="58"/>
        <v>0</v>
      </c>
      <c r="DJ63" s="42">
        <f t="shared" si="58"/>
        <v>0</v>
      </c>
      <c r="DK63" s="42">
        <f t="shared" si="58"/>
        <v>0</v>
      </c>
      <c r="DL63" s="42">
        <f t="shared" si="58"/>
        <v>0</v>
      </c>
      <c r="DM63" s="42">
        <f t="shared" si="58"/>
        <v>0</v>
      </c>
      <c r="DN63" s="42">
        <f t="shared" si="58"/>
        <v>0</v>
      </c>
      <c r="DO63" s="42">
        <f t="shared" si="58"/>
        <v>144997715</v>
      </c>
      <c r="DP63" s="42">
        <f t="shared" si="58"/>
        <v>0</v>
      </c>
      <c r="DQ63" s="42">
        <f t="shared" si="58"/>
        <v>0</v>
      </c>
      <c r="DR63" s="42">
        <f t="shared" si="58"/>
        <v>0</v>
      </c>
      <c r="DS63" s="42">
        <f t="shared" si="56"/>
        <v>0</v>
      </c>
      <c r="DT63" s="42">
        <f t="shared" si="53"/>
        <v>0</v>
      </c>
      <c r="DU63" s="42">
        <f t="shared" si="53"/>
        <v>36902420</v>
      </c>
      <c r="DV63" s="42">
        <f t="shared" si="53"/>
        <v>3587344</v>
      </c>
      <c r="DW63" s="42">
        <f t="shared" si="53"/>
        <v>0</v>
      </c>
      <c r="DX63" s="42">
        <f t="shared" si="53"/>
        <v>0</v>
      </c>
      <c r="DY63" s="42"/>
      <c r="DZ63" s="42">
        <f t="shared" si="54"/>
        <v>10000000</v>
      </c>
      <c r="EB63" s="47">
        <f t="shared" si="15"/>
        <v>869968071</v>
      </c>
      <c r="EC63" s="47">
        <f t="shared" si="16"/>
        <v>869968071</v>
      </c>
      <c r="ED63" s="47">
        <f t="shared" si="17"/>
        <v>869968071</v>
      </c>
    </row>
    <row r="64" spans="1:134" ht="17.399999999999999" customHeight="1" x14ac:dyDescent="0.3">
      <c r="A64" s="82"/>
      <c r="B64" s="85"/>
      <c r="C64" s="38" t="s">
        <v>196</v>
      </c>
      <c r="D64" s="50" t="s">
        <v>197</v>
      </c>
      <c r="E64" s="40">
        <v>410</v>
      </c>
      <c r="F64" s="41" t="s">
        <v>139</v>
      </c>
      <c r="G64" s="42">
        <f t="shared" si="42"/>
        <v>10000000</v>
      </c>
      <c r="H64" s="42"/>
      <c r="I64" s="42"/>
      <c r="J64" s="42"/>
      <c r="K64" s="42"/>
      <c r="L64" s="42"/>
      <c r="M64" s="42"/>
      <c r="N64" s="42"/>
      <c r="O64" s="42">
        <v>10000000</v>
      </c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3">
        <f t="shared" si="32"/>
        <v>0.77810000000000001</v>
      </c>
      <c r="AF64" s="42">
        <f t="shared" si="43"/>
        <v>7781000</v>
      </c>
      <c r="AG64" s="42"/>
      <c r="AH64" s="42"/>
      <c r="AI64" s="42"/>
      <c r="AJ64" s="42"/>
      <c r="AK64" s="42"/>
      <c r="AL64" s="42"/>
      <c r="AM64" s="42"/>
      <c r="AN64" s="42">
        <f>+'[1]OCTUBRE 2019'!$Q$2682</f>
        <v>7781000</v>
      </c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3">
        <f t="shared" si="3"/>
        <v>0.22189999999999999</v>
      </c>
      <c r="BE64" s="42">
        <f t="shared" si="44"/>
        <v>2219000</v>
      </c>
      <c r="BF64" s="42">
        <f t="shared" si="45"/>
        <v>0</v>
      </c>
      <c r="BG64" s="42">
        <f t="shared" si="45"/>
        <v>0</v>
      </c>
      <c r="BH64" s="42">
        <f t="shared" si="45"/>
        <v>0</v>
      </c>
      <c r="BI64" s="42">
        <f t="shared" si="46"/>
        <v>0</v>
      </c>
      <c r="BJ64" s="42">
        <f t="shared" si="57"/>
        <v>0</v>
      </c>
      <c r="BK64" s="42">
        <f t="shared" si="57"/>
        <v>0</v>
      </c>
      <c r="BL64" s="42">
        <f t="shared" si="57"/>
        <v>0</v>
      </c>
      <c r="BM64" s="42">
        <f t="shared" si="57"/>
        <v>2219000</v>
      </c>
      <c r="BN64" s="42">
        <f t="shared" si="57"/>
        <v>0</v>
      </c>
      <c r="BO64" s="42">
        <f t="shared" si="57"/>
        <v>0</v>
      </c>
      <c r="BP64" s="42">
        <f t="shared" si="57"/>
        <v>0</v>
      </c>
      <c r="BQ64" s="42">
        <f t="shared" si="57"/>
        <v>0</v>
      </c>
      <c r="BR64" s="42">
        <f t="shared" si="57"/>
        <v>0</v>
      </c>
      <c r="BS64" s="42">
        <f t="shared" si="57"/>
        <v>0</v>
      </c>
      <c r="BT64" s="42">
        <f t="shared" si="57"/>
        <v>0</v>
      </c>
      <c r="BU64" s="42">
        <f t="shared" si="57"/>
        <v>0</v>
      </c>
      <c r="BV64" s="42">
        <f t="shared" si="57"/>
        <v>0</v>
      </c>
      <c r="BW64" s="42">
        <f t="shared" si="57"/>
        <v>0</v>
      </c>
      <c r="BX64" s="42">
        <f t="shared" si="57"/>
        <v>0</v>
      </c>
      <c r="BY64" s="42">
        <f t="shared" si="55"/>
        <v>0</v>
      </c>
      <c r="BZ64" s="42">
        <f t="shared" si="48"/>
        <v>0</v>
      </c>
      <c r="CA64" s="42"/>
      <c r="CB64" s="42">
        <f t="shared" si="49"/>
        <v>0</v>
      </c>
      <c r="CC64" s="43">
        <f t="shared" si="8"/>
        <v>0.54790000000000005</v>
      </c>
      <c r="CD64" s="42">
        <f t="shared" si="50"/>
        <v>5479000</v>
      </c>
      <c r="CE64" s="42"/>
      <c r="CF64" s="42"/>
      <c r="CG64" s="42"/>
      <c r="CH64" s="42"/>
      <c r="CI64" s="42"/>
      <c r="CJ64" s="42"/>
      <c r="CK64" s="42"/>
      <c r="CL64" s="42">
        <f>+'[1]OCTUBRE 2019'!$H$2680</f>
        <v>5479000</v>
      </c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3">
        <f t="shared" si="10"/>
        <v>0.45209999999999995</v>
      </c>
      <c r="DC64" s="42">
        <f t="shared" si="51"/>
        <v>4521000</v>
      </c>
      <c r="DD64" s="42">
        <f t="shared" si="58"/>
        <v>0</v>
      </c>
      <c r="DE64" s="42">
        <f t="shared" si="58"/>
        <v>0</v>
      </c>
      <c r="DF64" s="42">
        <f t="shared" si="58"/>
        <v>0</v>
      </c>
      <c r="DG64" s="42">
        <f t="shared" si="58"/>
        <v>0</v>
      </c>
      <c r="DH64" s="42">
        <f t="shared" si="58"/>
        <v>0</v>
      </c>
      <c r="DI64" s="42">
        <f t="shared" si="58"/>
        <v>0</v>
      </c>
      <c r="DJ64" s="42">
        <f t="shared" si="58"/>
        <v>0</v>
      </c>
      <c r="DK64" s="42">
        <f t="shared" si="58"/>
        <v>4521000</v>
      </c>
      <c r="DL64" s="42">
        <f t="shared" si="58"/>
        <v>0</v>
      </c>
      <c r="DM64" s="42">
        <f t="shared" si="58"/>
        <v>0</v>
      </c>
      <c r="DN64" s="42">
        <f t="shared" si="58"/>
        <v>0</v>
      </c>
      <c r="DO64" s="42">
        <f t="shared" si="58"/>
        <v>0</v>
      </c>
      <c r="DP64" s="42">
        <f t="shared" si="58"/>
        <v>0</v>
      </c>
      <c r="DQ64" s="42">
        <f t="shared" si="58"/>
        <v>0</v>
      </c>
      <c r="DR64" s="42">
        <f t="shared" si="58"/>
        <v>0</v>
      </c>
      <c r="DS64" s="42">
        <f t="shared" si="56"/>
        <v>0</v>
      </c>
      <c r="DT64" s="42">
        <f t="shared" si="53"/>
        <v>0</v>
      </c>
      <c r="DU64" s="42">
        <f t="shared" si="53"/>
        <v>0</v>
      </c>
      <c r="DV64" s="42">
        <f t="shared" si="53"/>
        <v>0</v>
      </c>
      <c r="DW64" s="42">
        <f t="shared" si="53"/>
        <v>0</v>
      </c>
      <c r="DX64" s="42">
        <f t="shared" si="53"/>
        <v>0</v>
      </c>
      <c r="DY64" s="42"/>
      <c r="DZ64" s="42">
        <f t="shared" si="54"/>
        <v>0</v>
      </c>
      <c r="EB64" s="47">
        <f t="shared" si="15"/>
        <v>10000000</v>
      </c>
      <c r="EC64" s="47">
        <f t="shared" si="16"/>
        <v>10000000</v>
      </c>
      <c r="ED64" s="47">
        <f t="shared" si="17"/>
        <v>10000000</v>
      </c>
    </row>
    <row r="65" spans="1:134" ht="16.2" customHeight="1" x14ac:dyDescent="0.3">
      <c r="A65" s="82"/>
      <c r="B65" s="85"/>
      <c r="C65" s="38" t="s">
        <v>198</v>
      </c>
      <c r="D65" s="50" t="s">
        <v>199</v>
      </c>
      <c r="E65" s="40">
        <v>410</v>
      </c>
      <c r="F65" s="41" t="s">
        <v>139</v>
      </c>
      <c r="G65" s="42">
        <f t="shared" si="42"/>
        <v>10000000</v>
      </c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>
        <v>10000000</v>
      </c>
      <c r="AA65" s="42"/>
      <c r="AB65" s="42"/>
      <c r="AC65" s="42"/>
      <c r="AD65" s="42"/>
      <c r="AE65" s="43">
        <f t="shared" si="32"/>
        <v>0.45</v>
      </c>
      <c r="AF65" s="42">
        <f t="shared" si="43"/>
        <v>4500000</v>
      </c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>
        <f>+'[3]NOVIEMBRE 2019'!$AB$3019</f>
        <v>4500000</v>
      </c>
      <c r="AZ65" s="42"/>
      <c r="BA65" s="42"/>
      <c r="BB65" s="42"/>
      <c r="BC65" s="42"/>
      <c r="BD65" s="43">
        <f t="shared" si="3"/>
        <v>0.55000000000000004</v>
      </c>
      <c r="BE65" s="42">
        <f t="shared" si="44"/>
        <v>5500000</v>
      </c>
      <c r="BF65" s="42">
        <f t="shared" si="45"/>
        <v>0</v>
      </c>
      <c r="BG65" s="42">
        <f t="shared" si="45"/>
        <v>0</v>
      </c>
      <c r="BH65" s="42">
        <f t="shared" si="45"/>
        <v>0</v>
      </c>
      <c r="BI65" s="42">
        <f t="shared" si="46"/>
        <v>0</v>
      </c>
      <c r="BJ65" s="42">
        <f t="shared" si="57"/>
        <v>0</v>
      </c>
      <c r="BK65" s="42">
        <f t="shared" si="57"/>
        <v>0</v>
      </c>
      <c r="BL65" s="42">
        <f t="shared" si="57"/>
        <v>0</v>
      </c>
      <c r="BM65" s="42">
        <f t="shared" si="57"/>
        <v>0</v>
      </c>
      <c r="BN65" s="42">
        <f t="shared" si="57"/>
        <v>0</v>
      </c>
      <c r="BO65" s="42">
        <f t="shared" si="57"/>
        <v>0</v>
      </c>
      <c r="BP65" s="42">
        <f t="shared" si="57"/>
        <v>0</v>
      </c>
      <c r="BQ65" s="42">
        <f t="shared" si="57"/>
        <v>0</v>
      </c>
      <c r="BR65" s="42">
        <f t="shared" si="57"/>
        <v>0</v>
      </c>
      <c r="BS65" s="42">
        <f t="shared" si="57"/>
        <v>0</v>
      </c>
      <c r="BT65" s="42">
        <f t="shared" si="57"/>
        <v>0</v>
      </c>
      <c r="BU65" s="42">
        <f t="shared" si="57"/>
        <v>0</v>
      </c>
      <c r="BV65" s="42">
        <f t="shared" si="57"/>
        <v>0</v>
      </c>
      <c r="BW65" s="42">
        <f t="shared" si="57"/>
        <v>0</v>
      </c>
      <c r="BX65" s="42">
        <f t="shared" si="57"/>
        <v>5500000</v>
      </c>
      <c r="BY65" s="42">
        <f t="shared" si="55"/>
        <v>0</v>
      </c>
      <c r="BZ65" s="42">
        <f t="shared" si="48"/>
        <v>0</v>
      </c>
      <c r="CA65" s="42"/>
      <c r="CB65" s="42">
        <f t="shared" si="49"/>
        <v>0</v>
      </c>
      <c r="CC65" s="43">
        <f t="shared" si="8"/>
        <v>0.41162349999999998</v>
      </c>
      <c r="CD65" s="42">
        <f t="shared" si="50"/>
        <v>4116235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>
        <f>+'[3]NOVIEMBRE 2019'!$H$3017</f>
        <v>4116235</v>
      </c>
      <c r="CX65" s="42"/>
      <c r="CY65" s="42"/>
      <c r="CZ65" s="42"/>
      <c r="DA65" s="42"/>
      <c r="DB65" s="43">
        <f t="shared" si="10"/>
        <v>0.58837650000000008</v>
      </c>
      <c r="DC65" s="42">
        <f t="shared" si="51"/>
        <v>5883765</v>
      </c>
      <c r="DD65" s="42">
        <f t="shared" si="58"/>
        <v>0</v>
      </c>
      <c r="DE65" s="42">
        <f t="shared" si="58"/>
        <v>0</v>
      </c>
      <c r="DF65" s="42">
        <f t="shared" si="58"/>
        <v>0</v>
      </c>
      <c r="DG65" s="42">
        <f t="shared" si="58"/>
        <v>0</v>
      </c>
      <c r="DH65" s="42">
        <f t="shared" si="58"/>
        <v>0</v>
      </c>
      <c r="DI65" s="42">
        <f t="shared" si="58"/>
        <v>0</v>
      </c>
      <c r="DJ65" s="42">
        <f t="shared" si="58"/>
        <v>0</v>
      </c>
      <c r="DK65" s="42">
        <f t="shared" si="58"/>
        <v>0</v>
      </c>
      <c r="DL65" s="42">
        <f t="shared" si="58"/>
        <v>0</v>
      </c>
      <c r="DM65" s="42">
        <f t="shared" si="58"/>
        <v>0</v>
      </c>
      <c r="DN65" s="42">
        <f t="shared" si="58"/>
        <v>0</v>
      </c>
      <c r="DO65" s="42">
        <f t="shared" si="58"/>
        <v>0</v>
      </c>
      <c r="DP65" s="42">
        <f t="shared" si="58"/>
        <v>0</v>
      </c>
      <c r="DQ65" s="42">
        <f t="shared" si="58"/>
        <v>0</v>
      </c>
      <c r="DR65" s="42">
        <f t="shared" si="58"/>
        <v>0</v>
      </c>
      <c r="DS65" s="42">
        <f t="shared" si="56"/>
        <v>0</v>
      </c>
      <c r="DT65" s="42">
        <f t="shared" si="53"/>
        <v>0</v>
      </c>
      <c r="DU65" s="42">
        <f t="shared" si="53"/>
        <v>0</v>
      </c>
      <c r="DV65" s="42">
        <f t="shared" si="53"/>
        <v>5883765</v>
      </c>
      <c r="DW65" s="42">
        <f t="shared" si="53"/>
        <v>0</v>
      </c>
      <c r="DX65" s="42">
        <f t="shared" si="53"/>
        <v>0</v>
      </c>
      <c r="DY65" s="42"/>
      <c r="DZ65" s="42">
        <f t="shared" si="54"/>
        <v>0</v>
      </c>
      <c r="EB65" s="47">
        <f t="shared" si="15"/>
        <v>10000000</v>
      </c>
      <c r="EC65" s="47">
        <f t="shared" si="16"/>
        <v>10000000</v>
      </c>
      <c r="ED65" s="47">
        <f t="shared" si="17"/>
        <v>10000000</v>
      </c>
    </row>
    <row r="66" spans="1:134" ht="29.4" customHeight="1" x14ac:dyDescent="0.3">
      <c r="A66" s="82"/>
      <c r="B66" s="85"/>
      <c r="C66" s="38" t="s">
        <v>200</v>
      </c>
      <c r="D66" s="50" t="s">
        <v>201</v>
      </c>
      <c r="E66" s="40">
        <v>410</v>
      </c>
      <c r="F66" s="41" t="s">
        <v>139</v>
      </c>
      <c r="G66" s="42">
        <f t="shared" si="42"/>
        <v>237881602</v>
      </c>
      <c r="H66" s="42"/>
      <c r="I66" s="42"/>
      <c r="J66" s="42"/>
      <c r="K66" s="42"/>
      <c r="L66" s="42"/>
      <c r="M66" s="42"/>
      <c r="N66" s="42"/>
      <c r="O66" s="42">
        <v>100000000</v>
      </c>
      <c r="P66" s="42">
        <f>45960534</f>
        <v>45960534</v>
      </c>
      <c r="Q66" s="42">
        <f>45960534</f>
        <v>45960534</v>
      </c>
      <c r="R66" s="42">
        <f>45960534</f>
        <v>45960534</v>
      </c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3">
        <f t="shared" si="32"/>
        <v>0.47514817055923475</v>
      </c>
      <c r="AF66" s="42">
        <f t="shared" si="43"/>
        <v>113029008</v>
      </c>
      <c r="AG66" s="42"/>
      <c r="AH66" s="42"/>
      <c r="AI66" s="42"/>
      <c r="AJ66" s="42"/>
      <c r="AK66" s="42"/>
      <c r="AL66" s="42"/>
      <c r="AM66" s="42"/>
      <c r="AN66" s="42">
        <f>+'[3]NOVIEMBRE 2019'!$Q$3025</f>
        <v>84845306</v>
      </c>
      <c r="AO66" s="42">
        <f>+'[3]NOVIEMBRE 2019'!$R$3025</f>
        <v>3200000</v>
      </c>
      <c r="AP66" s="42">
        <f>+'[3]NOVIEMBRE 2019'!$S$3025</f>
        <v>22983702</v>
      </c>
      <c r="AQ66" s="42">
        <f>+'[3]NOVIEMBRE 2019'!$T$3025</f>
        <v>2000000</v>
      </c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3">
        <f t="shared" si="3"/>
        <v>0.52485182944076525</v>
      </c>
      <c r="BE66" s="42">
        <f t="shared" si="44"/>
        <v>124852594</v>
      </c>
      <c r="BF66" s="42">
        <f t="shared" si="45"/>
        <v>0</v>
      </c>
      <c r="BG66" s="42">
        <f t="shared" si="45"/>
        <v>0</v>
      </c>
      <c r="BH66" s="42">
        <f t="shared" si="45"/>
        <v>0</v>
      </c>
      <c r="BI66" s="42">
        <f t="shared" si="46"/>
        <v>0</v>
      </c>
      <c r="BJ66" s="42">
        <f t="shared" si="57"/>
        <v>0</v>
      </c>
      <c r="BK66" s="42">
        <f t="shared" si="57"/>
        <v>0</v>
      </c>
      <c r="BL66" s="42">
        <f t="shared" si="57"/>
        <v>0</v>
      </c>
      <c r="BM66" s="42">
        <f t="shared" si="57"/>
        <v>15154694</v>
      </c>
      <c r="BN66" s="42">
        <f t="shared" si="57"/>
        <v>42760534</v>
      </c>
      <c r="BO66" s="42">
        <f t="shared" si="57"/>
        <v>22976832</v>
      </c>
      <c r="BP66" s="42">
        <f t="shared" si="57"/>
        <v>43960534</v>
      </c>
      <c r="BQ66" s="42">
        <f t="shared" si="57"/>
        <v>0</v>
      </c>
      <c r="BR66" s="42">
        <f t="shared" si="57"/>
        <v>0</v>
      </c>
      <c r="BS66" s="42">
        <f t="shared" si="57"/>
        <v>0</v>
      </c>
      <c r="BT66" s="42">
        <f t="shared" si="57"/>
        <v>0</v>
      </c>
      <c r="BU66" s="42">
        <f t="shared" si="57"/>
        <v>0</v>
      </c>
      <c r="BV66" s="42">
        <f t="shared" si="57"/>
        <v>0</v>
      </c>
      <c r="BW66" s="42">
        <f t="shared" si="57"/>
        <v>0</v>
      </c>
      <c r="BX66" s="42">
        <f t="shared" si="57"/>
        <v>0</v>
      </c>
      <c r="BY66" s="42">
        <f t="shared" si="55"/>
        <v>0</v>
      </c>
      <c r="BZ66" s="42">
        <f t="shared" si="48"/>
        <v>0</v>
      </c>
      <c r="CA66" s="42"/>
      <c r="CB66" s="42">
        <f t="shared" si="49"/>
        <v>0</v>
      </c>
      <c r="CC66" s="43">
        <f t="shared" si="8"/>
        <v>0.42946879515297698</v>
      </c>
      <c r="CD66" s="42">
        <f t="shared" si="50"/>
        <v>102162725</v>
      </c>
      <c r="CE66" s="42"/>
      <c r="CF66" s="42"/>
      <c r="CG66" s="42"/>
      <c r="CH66" s="42"/>
      <c r="CI66" s="42"/>
      <c r="CJ66" s="42"/>
      <c r="CK66" s="42"/>
      <c r="CL66" s="42">
        <f>+'[3]NOVIEMBRE 2019'!$H$3026+'[3]NOVIEMBRE 2019'!$H$3028+'[3]NOVIEMBRE 2019'!$H$3029+'[3]NOVIEMBRE 2019'!$H$3031+'[3]NOVIEMBRE 2019'!$H$3033+'[3]NOVIEMBRE 2019'!$H$3035+'[3]NOVIEMBRE 2019'!$H$3037+'[3]NOVIEMBRE 2019'!$H$3038+'[3]NOVIEMBRE 2019'!$H$3039+'[3]NOVIEMBRE 2019'!$H$3040+'[3]NOVIEMBRE 2019'!$H$3041+'[3]NOVIEMBRE 2019'!$H$3042+'[3]NOVIEMBRE 2019'!$H$3048+'[3]NOVIEMBRE 2019'!$H$3050+'[3]NOVIEMBRE 2019'!$H$3051+'[3]NOVIEMBRE 2019'!$H$3052+'[3]NOVIEMBRE 2019'!$H$3053+'[3]NOVIEMBRE 2019'!$H$3056+'[3]NOVIEMBRE 2019'!$H$3059+'[3]NOVIEMBRE 2019'!$H$3062+'[3]NOVIEMBRE 2019'!$H$3065+'[3]NOVIEMBRE 2019'!$H$3068+'[3]NOVIEMBRE 2019'!$H$3069+'[3]NOVIEMBRE 2019'!$H$3070+'[3]NOVIEMBRE 2019'!$H$3071+'[3]NOVIEMBRE 2019'!$H$3072+'[3]NOVIEMBRE 2019'!$H$3073+'[3]NOVIEMBRE 2019'!$H$3074+'[3]NOVIEMBRE 2019'!$H$3077+'[3]NOVIEMBRE 2019'!$H$3079+'[3]NOVIEMBRE 2019'!$H$3081+'[3]NOVIEMBRE 2019'!$H$3085+'[3]NOVIEMBRE 2019'!$H$3086+'[3]NOVIEMBRE 2019'!$H$3087+'[3]NOVIEMBRE 2019'!$H$3089+'[3]NOVIEMBRE 2019'!$H$3090+'[3]NOVIEMBRE 2019'!$H$3093+'[3]NOVIEMBRE 2019'!$H$3095</f>
        <v>75979023</v>
      </c>
      <c r="CM66" s="42">
        <f>+'[3]NOVIEMBRE 2019'!$H$3096</f>
        <v>3200000</v>
      </c>
      <c r="CN66" s="42">
        <f>+'[3]NOVIEMBRE 2019'!$H$3088+'[3]NOVIEMBRE 2019'!$H$3100+'[3]NOVIEMBRE 2019'!$H$3101+'[3]NOVIEMBRE 2019'!$H$3103</f>
        <v>22983702</v>
      </c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3">
        <f t="shared" si="10"/>
        <v>0.57053120484702302</v>
      </c>
      <c r="DC66" s="42">
        <f t="shared" si="51"/>
        <v>135718877</v>
      </c>
      <c r="DD66" s="42">
        <f t="shared" si="58"/>
        <v>0</v>
      </c>
      <c r="DE66" s="42">
        <f t="shared" si="58"/>
        <v>0</v>
      </c>
      <c r="DF66" s="42">
        <f t="shared" si="58"/>
        <v>0</v>
      </c>
      <c r="DG66" s="42">
        <f t="shared" si="58"/>
        <v>0</v>
      </c>
      <c r="DH66" s="42">
        <f t="shared" si="58"/>
        <v>0</v>
      </c>
      <c r="DI66" s="42">
        <f t="shared" si="58"/>
        <v>0</v>
      </c>
      <c r="DJ66" s="42">
        <f t="shared" si="58"/>
        <v>0</v>
      </c>
      <c r="DK66" s="42">
        <f t="shared" si="58"/>
        <v>24020977</v>
      </c>
      <c r="DL66" s="42">
        <f t="shared" si="58"/>
        <v>42760534</v>
      </c>
      <c r="DM66" s="42">
        <f t="shared" si="58"/>
        <v>22976832</v>
      </c>
      <c r="DN66" s="42">
        <f t="shared" si="58"/>
        <v>45960534</v>
      </c>
      <c r="DO66" s="42">
        <f t="shared" si="58"/>
        <v>0</v>
      </c>
      <c r="DP66" s="42">
        <f t="shared" si="58"/>
        <v>0</v>
      </c>
      <c r="DQ66" s="42">
        <f t="shared" si="58"/>
        <v>0</v>
      </c>
      <c r="DR66" s="42">
        <f t="shared" si="58"/>
        <v>0</v>
      </c>
      <c r="DS66" s="42">
        <f t="shared" si="56"/>
        <v>0</v>
      </c>
      <c r="DT66" s="42">
        <f t="shared" si="53"/>
        <v>0</v>
      </c>
      <c r="DU66" s="42">
        <f t="shared" si="53"/>
        <v>0</v>
      </c>
      <c r="DV66" s="42">
        <f t="shared" si="53"/>
        <v>0</v>
      </c>
      <c r="DW66" s="42">
        <f t="shared" si="53"/>
        <v>0</v>
      </c>
      <c r="DX66" s="42">
        <f t="shared" si="53"/>
        <v>0</v>
      </c>
      <c r="DY66" s="42"/>
      <c r="DZ66" s="42">
        <f t="shared" si="54"/>
        <v>0</v>
      </c>
      <c r="EB66" s="47">
        <f t="shared" si="15"/>
        <v>237881602</v>
      </c>
      <c r="EC66" s="47">
        <f t="shared" si="16"/>
        <v>237881602</v>
      </c>
      <c r="ED66" s="47">
        <f t="shared" si="17"/>
        <v>237881602</v>
      </c>
    </row>
    <row r="67" spans="1:134" ht="39.6" customHeight="1" x14ac:dyDescent="0.3">
      <c r="A67" s="82"/>
      <c r="B67" s="85"/>
      <c r="C67" s="78" t="s">
        <v>202</v>
      </c>
      <c r="D67" s="50" t="s">
        <v>203</v>
      </c>
      <c r="E67" s="79">
        <v>410</v>
      </c>
      <c r="F67" s="41" t="s">
        <v>139</v>
      </c>
      <c r="G67" s="42">
        <f t="shared" si="42"/>
        <v>0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3" t="e">
        <f t="shared" si="32"/>
        <v>#DIV/0!</v>
      </c>
      <c r="AF67" s="42">
        <f t="shared" si="43"/>
        <v>0</v>
      </c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3" t="e">
        <f t="shared" si="3"/>
        <v>#DIV/0!</v>
      </c>
      <c r="BE67" s="42">
        <f t="shared" si="44"/>
        <v>0</v>
      </c>
      <c r="BF67" s="42">
        <f t="shared" si="45"/>
        <v>0</v>
      </c>
      <c r="BG67" s="42">
        <f t="shared" si="45"/>
        <v>0</v>
      </c>
      <c r="BH67" s="42">
        <f t="shared" si="45"/>
        <v>0</v>
      </c>
      <c r="BI67" s="42">
        <f t="shared" si="46"/>
        <v>0</v>
      </c>
      <c r="BJ67" s="42">
        <f t="shared" si="57"/>
        <v>0</v>
      </c>
      <c r="BK67" s="42">
        <f t="shared" si="57"/>
        <v>0</v>
      </c>
      <c r="BL67" s="42">
        <f t="shared" si="57"/>
        <v>0</v>
      </c>
      <c r="BM67" s="42">
        <f t="shared" si="57"/>
        <v>0</v>
      </c>
      <c r="BN67" s="42">
        <f t="shared" si="57"/>
        <v>0</v>
      </c>
      <c r="BO67" s="42">
        <f t="shared" si="57"/>
        <v>0</v>
      </c>
      <c r="BP67" s="42">
        <f t="shared" si="57"/>
        <v>0</v>
      </c>
      <c r="BQ67" s="42">
        <f t="shared" si="57"/>
        <v>0</v>
      </c>
      <c r="BR67" s="42">
        <f t="shared" si="57"/>
        <v>0</v>
      </c>
      <c r="BS67" s="42">
        <f t="shared" si="57"/>
        <v>0</v>
      </c>
      <c r="BT67" s="42">
        <f t="shared" si="57"/>
        <v>0</v>
      </c>
      <c r="BU67" s="42">
        <f t="shared" si="57"/>
        <v>0</v>
      </c>
      <c r="BV67" s="42">
        <f t="shared" si="57"/>
        <v>0</v>
      </c>
      <c r="BW67" s="42">
        <f t="shared" si="57"/>
        <v>0</v>
      </c>
      <c r="BX67" s="42">
        <f t="shared" si="57"/>
        <v>0</v>
      </c>
      <c r="BY67" s="42">
        <f t="shared" si="55"/>
        <v>0</v>
      </c>
      <c r="BZ67" s="42">
        <f t="shared" si="48"/>
        <v>0</v>
      </c>
      <c r="CA67" s="42"/>
      <c r="CB67" s="42">
        <f t="shared" si="49"/>
        <v>0</v>
      </c>
      <c r="CC67" s="43" t="e">
        <f t="shared" si="8"/>
        <v>#DIV/0!</v>
      </c>
      <c r="CD67" s="42">
        <f t="shared" si="50"/>
        <v>0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3" t="e">
        <f t="shared" si="10"/>
        <v>#DIV/0!</v>
      </c>
      <c r="DC67" s="42">
        <f t="shared" si="51"/>
        <v>0</v>
      </c>
      <c r="DD67" s="42">
        <f t="shared" si="58"/>
        <v>0</v>
      </c>
      <c r="DE67" s="42">
        <f t="shared" si="58"/>
        <v>0</v>
      </c>
      <c r="DF67" s="42">
        <f t="shared" si="58"/>
        <v>0</v>
      </c>
      <c r="DG67" s="42">
        <f t="shared" si="58"/>
        <v>0</v>
      </c>
      <c r="DH67" s="42">
        <f t="shared" si="58"/>
        <v>0</v>
      </c>
      <c r="DI67" s="42">
        <f t="shared" si="58"/>
        <v>0</v>
      </c>
      <c r="DJ67" s="42">
        <f t="shared" si="58"/>
        <v>0</v>
      </c>
      <c r="DK67" s="42">
        <f t="shared" si="58"/>
        <v>0</v>
      </c>
      <c r="DL67" s="42">
        <f t="shared" si="58"/>
        <v>0</v>
      </c>
      <c r="DM67" s="42">
        <f t="shared" si="58"/>
        <v>0</v>
      </c>
      <c r="DN67" s="42">
        <f t="shared" si="58"/>
        <v>0</v>
      </c>
      <c r="DO67" s="42">
        <f t="shared" si="58"/>
        <v>0</v>
      </c>
      <c r="DP67" s="42">
        <f t="shared" si="58"/>
        <v>0</v>
      </c>
      <c r="DQ67" s="42">
        <f t="shared" si="58"/>
        <v>0</v>
      </c>
      <c r="DR67" s="42">
        <f t="shared" si="58"/>
        <v>0</v>
      </c>
      <c r="DS67" s="42">
        <f t="shared" si="56"/>
        <v>0</v>
      </c>
      <c r="DT67" s="42">
        <f t="shared" si="53"/>
        <v>0</v>
      </c>
      <c r="DU67" s="42">
        <f t="shared" si="53"/>
        <v>0</v>
      </c>
      <c r="DV67" s="42">
        <f t="shared" si="53"/>
        <v>0</v>
      </c>
      <c r="DW67" s="42">
        <f t="shared" si="53"/>
        <v>0</v>
      </c>
      <c r="DX67" s="42">
        <f t="shared" si="53"/>
        <v>0</v>
      </c>
      <c r="DY67" s="42"/>
      <c r="DZ67" s="42">
        <f t="shared" si="54"/>
        <v>0</v>
      </c>
      <c r="EB67" s="47">
        <f t="shared" si="15"/>
        <v>0</v>
      </c>
      <c r="EC67" s="47">
        <f t="shared" si="16"/>
        <v>0</v>
      </c>
      <c r="ED67" s="47">
        <f t="shared" si="17"/>
        <v>0</v>
      </c>
    </row>
    <row r="68" spans="1:134" ht="20.399999999999999" customHeight="1" x14ac:dyDescent="0.3">
      <c r="A68" s="82"/>
      <c r="B68" s="85"/>
      <c r="C68" s="38" t="s">
        <v>204</v>
      </c>
      <c r="D68" s="50" t="s">
        <v>205</v>
      </c>
      <c r="E68" s="40">
        <v>410</v>
      </c>
      <c r="F68" s="41" t="s">
        <v>139</v>
      </c>
      <c r="G68" s="42">
        <f t="shared" si="42"/>
        <v>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3" t="e">
        <f t="shared" si="32"/>
        <v>#DIV/0!</v>
      </c>
      <c r="AF68" s="42">
        <f t="shared" si="43"/>
        <v>0</v>
      </c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3" t="e">
        <f t="shared" ref="BD68:BD131" si="59">1-AE68</f>
        <v>#DIV/0!</v>
      </c>
      <c r="BE68" s="42">
        <f t="shared" si="44"/>
        <v>0</v>
      </c>
      <c r="BF68" s="42">
        <f t="shared" si="45"/>
        <v>0</v>
      </c>
      <c r="BG68" s="42">
        <f t="shared" si="45"/>
        <v>0</v>
      </c>
      <c r="BH68" s="42">
        <f t="shared" si="45"/>
        <v>0</v>
      </c>
      <c r="BI68" s="42">
        <f t="shared" si="46"/>
        <v>0</v>
      </c>
      <c r="BJ68" s="42">
        <f t="shared" si="57"/>
        <v>0</v>
      </c>
      <c r="BK68" s="42">
        <f t="shared" si="57"/>
        <v>0</v>
      </c>
      <c r="BL68" s="42">
        <f t="shared" si="57"/>
        <v>0</v>
      </c>
      <c r="BM68" s="42">
        <f t="shared" si="57"/>
        <v>0</v>
      </c>
      <c r="BN68" s="42">
        <f t="shared" si="57"/>
        <v>0</v>
      </c>
      <c r="BO68" s="42">
        <f t="shared" si="57"/>
        <v>0</v>
      </c>
      <c r="BP68" s="42">
        <f t="shared" si="57"/>
        <v>0</v>
      </c>
      <c r="BQ68" s="42">
        <f t="shared" si="57"/>
        <v>0</v>
      </c>
      <c r="BR68" s="42">
        <f t="shared" si="57"/>
        <v>0</v>
      </c>
      <c r="BS68" s="42">
        <f t="shared" si="57"/>
        <v>0</v>
      </c>
      <c r="BT68" s="42">
        <f t="shared" si="57"/>
        <v>0</v>
      </c>
      <c r="BU68" s="42">
        <f t="shared" si="57"/>
        <v>0</v>
      </c>
      <c r="BV68" s="42">
        <f t="shared" si="57"/>
        <v>0</v>
      </c>
      <c r="BW68" s="42">
        <f t="shared" si="57"/>
        <v>0</v>
      </c>
      <c r="BX68" s="42">
        <f t="shared" si="57"/>
        <v>0</v>
      </c>
      <c r="BY68" s="42">
        <f t="shared" si="55"/>
        <v>0</v>
      </c>
      <c r="BZ68" s="42">
        <f t="shared" si="48"/>
        <v>0</v>
      </c>
      <c r="CA68" s="42"/>
      <c r="CB68" s="42">
        <f t="shared" si="49"/>
        <v>0</v>
      </c>
      <c r="CC68" s="43" t="e">
        <f t="shared" ref="CC68:CC107" si="60">+CD68/G68</f>
        <v>#DIV/0!</v>
      </c>
      <c r="CD68" s="42">
        <f t="shared" si="50"/>
        <v>0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3" t="e">
        <f t="shared" ref="DB68:DB131" si="61">1-CC68</f>
        <v>#DIV/0!</v>
      </c>
      <c r="DC68" s="42">
        <f t="shared" si="51"/>
        <v>0</v>
      </c>
      <c r="DD68" s="42">
        <f t="shared" si="58"/>
        <v>0</v>
      </c>
      <c r="DE68" s="42">
        <f t="shared" si="58"/>
        <v>0</v>
      </c>
      <c r="DF68" s="42">
        <f t="shared" si="58"/>
        <v>0</v>
      </c>
      <c r="DG68" s="42">
        <f t="shared" si="58"/>
        <v>0</v>
      </c>
      <c r="DH68" s="42">
        <f t="shared" si="58"/>
        <v>0</v>
      </c>
      <c r="DI68" s="42">
        <f t="shared" si="58"/>
        <v>0</v>
      </c>
      <c r="DJ68" s="42">
        <f t="shared" si="58"/>
        <v>0</v>
      </c>
      <c r="DK68" s="42">
        <f t="shared" si="58"/>
        <v>0</v>
      </c>
      <c r="DL68" s="42">
        <f t="shared" si="58"/>
        <v>0</v>
      </c>
      <c r="DM68" s="42">
        <f t="shared" si="58"/>
        <v>0</v>
      </c>
      <c r="DN68" s="42">
        <f t="shared" si="58"/>
        <v>0</v>
      </c>
      <c r="DO68" s="42">
        <f t="shared" si="58"/>
        <v>0</v>
      </c>
      <c r="DP68" s="42">
        <f t="shared" si="58"/>
        <v>0</v>
      </c>
      <c r="DQ68" s="42">
        <f t="shared" si="58"/>
        <v>0</v>
      </c>
      <c r="DR68" s="42">
        <f t="shared" si="58"/>
        <v>0</v>
      </c>
      <c r="DS68" s="42">
        <f t="shared" si="56"/>
        <v>0</v>
      </c>
      <c r="DT68" s="42">
        <f t="shared" si="53"/>
        <v>0</v>
      </c>
      <c r="DU68" s="42">
        <f t="shared" si="53"/>
        <v>0</v>
      </c>
      <c r="DV68" s="42">
        <f t="shared" si="53"/>
        <v>0</v>
      </c>
      <c r="DW68" s="42">
        <f t="shared" si="53"/>
        <v>0</v>
      </c>
      <c r="DX68" s="42">
        <f t="shared" si="53"/>
        <v>0</v>
      </c>
      <c r="DY68" s="42"/>
      <c r="DZ68" s="42">
        <f t="shared" si="54"/>
        <v>0</v>
      </c>
      <c r="EB68" s="47">
        <f t="shared" ref="EB68:EB131" si="62">+G68</f>
        <v>0</v>
      </c>
      <c r="EC68" s="47">
        <f t="shared" ref="EC68:EC131" si="63">+AF68+BE68</f>
        <v>0</v>
      </c>
      <c r="ED68" s="47">
        <f t="shared" ref="ED68:ED131" si="64">+CD68+DC68</f>
        <v>0</v>
      </c>
    </row>
    <row r="69" spans="1:134" ht="28.2" customHeight="1" x14ac:dyDescent="0.3">
      <c r="A69" s="82"/>
      <c r="B69" s="85"/>
      <c r="C69" s="38" t="s">
        <v>206</v>
      </c>
      <c r="D69" s="50" t="s">
        <v>207</v>
      </c>
      <c r="E69" s="40">
        <v>410</v>
      </c>
      <c r="F69" s="41" t="s">
        <v>139</v>
      </c>
      <c r="G69" s="42">
        <f t="shared" si="42"/>
        <v>2120000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>
        <v>2120000</v>
      </c>
      <c r="AA69" s="42"/>
      <c r="AB69" s="42"/>
      <c r="AC69" s="42"/>
      <c r="AD69" s="42"/>
      <c r="AE69" s="43">
        <f t="shared" si="32"/>
        <v>0.12570754716981133</v>
      </c>
      <c r="AF69" s="42">
        <f t="shared" si="43"/>
        <v>266500</v>
      </c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>
        <f>+'[2]SEPTIEMBRE 2019'!$AB$2447</f>
        <v>266500</v>
      </c>
      <c r="AZ69" s="42"/>
      <c r="BA69" s="42"/>
      <c r="BB69" s="42"/>
      <c r="BC69" s="42"/>
      <c r="BD69" s="43">
        <f t="shared" si="59"/>
        <v>0.87429245283018864</v>
      </c>
      <c r="BE69" s="42">
        <f t="shared" si="44"/>
        <v>1853500</v>
      </c>
      <c r="BF69" s="42">
        <f t="shared" si="45"/>
        <v>0</v>
      </c>
      <c r="BG69" s="42">
        <f t="shared" si="45"/>
        <v>0</v>
      </c>
      <c r="BH69" s="42">
        <f t="shared" si="45"/>
        <v>0</v>
      </c>
      <c r="BI69" s="42">
        <f t="shared" si="46"/>
        <v>0</v>
      </c>
      <c r="BJ69" s="42">
        <f t="shared" si="57"/>
        <v>0</v>
      </c>
      <c r="BK69" s="42">
        <f t="shared" si="57"/>
        <v>0</v>
      </c>
      <c r="BL69" s="42">
        <f t="shared" si="57"/>
        <v>0</v>
      </c>
      <c r="BM69" s="42">
        <f t="shared" si="57"/>
        <v>0</v>
      </c>
      <c r="BN69" s="42">
        <f t="shared" si="57"/>
        <v>0</v>
      </c>
      <c r="BO69" s="42">
        <f t="shared" si="57"/>
        <v>0</v>
      </c>
      <c r="BP69" s="42">
        <f t="shared" si="57"/>
        <v>0</v>
      </c>
      <c r="BQ69" s="42">
        <f t="shared" si="57"/>
        <v>0</v>
      </c>
      <c r="BR69" s="42">
        <f t="shared" si="57"/>
        <v>0</v>
      </c>
      <c r="BS69" s="42">
        <f t="shared" si="57"/>
        <v>0</v>
      </c>
      <c r="BT69" s="42">
        <f t="shared" si="57"/>
        <v>0</v>
      </c>
      <c r="BU69" s="42">
        <f t="shared" si="57"/>
        <v>0</v>
      </c>
      <c r="BV69" s="42">
        <f t="shared" si="57"/>
        <v>0</v>
      </c>
      <c r="BW69" s="42">
        <f t="shared" si="57"/>
        <v>0</v>
      </c>
      <c r="BX69" s="42">
        <f t="shared" si="57"/>
        <v>1853500</v>
      </c>
      <c r="BY69" s="42">
        <f t="shared" si="55"/>
        <v>0</v>
      </c>
      <c r="BZ69" s="42">
        <f t="shared" si="48"/>
        <v>0</v>
      </c>
      <c r="CA69" s="42"/>
      <c r="CB69" s="42">
        <f t="shared" si="49"/>
        <v>0</v>
      </c>
      <c r="CC69" s="43">
        <f t="shared" si="60"/>
        <v>0.12570754716981133</v>
      </c>
      <c r="CD69" s="42">
        <f t="shared" si="50"/>
        <v>266500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>
        <f>+'[2]SEPTIEMBRE 2019'!$H$2445</f>
        <v>266500</v>
      </c>
      <c r="CX69" s="42"/>
      <c r="CY69" s="42"/>
      <c r="CZ69" s="42"/>
      <c r="DA69" s="42"/>
      <c r="DB69" s="43">
        <f t="shared" si="61"/>
        <v>0.87429245283018864</v>
      </c>
      <c r="DC69" s="42">
        <f t="shared" si="51"/>
        <v>1853500</v>
      </c>
      <c r="DD69" s="42">
        <f t="shared" si="58"/>
        <v>0</v>
      </c>
      <c r="DE69" s="42">
        <f t="shared" si="58"/>
        <v>0</v>
      </c>
      <c r="DF69" s="42">
        <f t="shared" si="58"/>
        <v>0</v>
      </c>
      <c r="DG69" s="42">
        <f t="shared" si="58"/>
        <v>0</v>
      </c>
      <c r="DH69" s="42">
        <f t="shared" si="58"/>
        <v>0</v>
      </c>
      <c r="DI69" s="42">
        <f t="shared" si="58"/>
        <v>0</v>
      </c>
      <c r="DJ69" s="42">
        <f t="shared" si="58"/>
        <v>0</v>
      </c>
      <c r="DK69" s="42">
        <f t="shared" si="58"/>
        <v>0</v>
      </c>
      <c r="DL69" s="42">
        <f t="shared" si="58"/>
        <v>0</v>
      </c>
      <c r="DM69" s="42">
        <f t="shared" si="58"/>
        <v>0</v>
      </c>
      <c r="DN69" s="42">
        <f t="shared" si="58"/>
        <v>0</v>
      </c>
      <c r="DO69" s="42">
        <f t="shared" si="58"/>
        <v>0</v>
      </c>
      <c r="DP69" s="42">
        <f t="shared" si="58"/>
        <v>0</v>
      </c>
      <c r="DQ69" s="42">
        <f t="shared" si="58"/>
        <v>0</v>
      </c>
      <c r="DR69" s="42">
        <f t="shared" si="58"/>
        <v>0</v>
      </c>
      <c r="DS69" s="42">
        <f t="shared" si="56"/>
        <v>0</v>
      </c>
      <c r="DT69" s="42">
        <f t="shared" si="53"/>
        <v>0</v>
      </c>
      <c r="DU69" s="42">
        <f t="shared" si="53"/>
        <v>0</v>
      </c>
      <c r="DV69" s="42">
        <f t="shared" si="53"/>
        <v>1853500</v>
      </c>
      <c r="DW69" s="42">
        <f t="shared" si="53"/>
        <v>0</v>
      </c>
      <c r="DX69" s="42">
        <f t="shared" si="53"/>
        <v>0</v>
      </c>
      <c r="DY69" s="42"/>
      <c r="DZ69" s="42">
        <f t="shared" si="54"/>
        <v>0</v>
      </c>
      <c r="EB69" s="47">
        <f t="shared" si="62"/>
        <v>2120000</v>
      </c>
      <c r="EC69" s="47">
        <f t="shared" si="63"/>
        <v>2120000</v>
      </c>
      <c r="ED69" s="47">
        <f t="shared" si="64"/>
        <v>2120000</v>
      </c>
    </row>
    <row r="70" spans="1:134" ht="28.8" customHeight="1" x14ac:dyDescent="0.3">
      <c r="A70" s="82"/>
      <c r="B70" s="85"/>
      <c r="C70" s="38" t="s">
        <v>208</v>
      </c>
      <c r="D70" s="50" t="s">
        <v>209</v>
      </c>
      <c r="E70" s="40">
        <v>410</v>
      </c>
      <c r="F70" s="41" t="s">
        <v>139</v>
      </c>
      <c r="G70" s="42">
        <f t="shared" si="42"/>
        <v>4000000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>
        <v>4000000</v>
      </c>
      <c r="AA70" s="42"/>
      <c r="AB70" s="42"/>
      <c r="AC70" s="42"/>
      <c r="AD70" s="42"/>
      <c r="AE70" s="43">
        <f t="shared" si="32"/>
        <v>0</v>
      </c>
      <c r="AF70" s="42">
        <f t="shared" si="43"/>
        <v>0</v>
      </c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3">
        <f t="shared" si="59"/>
        <v>1</v>
      </c>
      <c r="BE70" s="42">
        <f t="shared" si="44"/>
        <v>4000000</v>
      </c>
      <c r="BF70" s="42">
        <f t="shared" si="45"/>
        <v>0</v>
      </c>
      <c r="BG70" s="42">
        <f t="shared" si="45"/>
        <v>0</v>
      </c>
      <c r="BH70" s="42">
        <f t="shared" si="45"/>
        <v>0</v>
      </c>
      <c r="BI70" s="42">
        <f t="shared" si="46"/>
        <v>0</v>
      </c>
      <c r="BJ70" s="42">
        <f t="shared" si="57"/>
        <v>0</v>
      </c>
      <c r="BK70" s="42">
        <f t="shared" si="57"/>
        <v>0</v>
      </c>
      <c r="BL70" s="42">
        <f t="shared" si="57"/>
        <v>0</v>
      </c>
      <c r="BM70" s="42">
        <f t="shared" si="57"/>
        <v>0</v>
      </c>
      <c r="BN70" s="42">
        <f t="shared" si="57"/>
        <v>0</v>
      </c>
      <c r="BO70" s="42">
        <f t="shared" si="57"/>
        <v>0</v>
      </c>
      <c r="BP70" s="42">
        <f t="shared" si="57"/>
        <v>0</v>
      </c>
      <c r="BQ70" s="42">
        <f t="shared" si="57"/>
        <v>0</v>
      </c>
      <c r="BR70" s="42">
        <f t="shared" si="57"/>
        <v>0</v>
      </c>
      <c r="BS70" s="42">
        <f t="shared" si="57"/>
        <v>0</v>
      </c>
      <c r="BT70" s="42">
        <f t="shared" si="57"/>
        <v>0</v>
      </c>
      <c r="BU70" s="42">
        <f t="shared" si="57"/>
        <v>0</v>
      </c>
      <c r="BV70" s="42">
        <f t="shared" si="57"/>
        <v>0</v>
      </c>
      <c r="BW70" s="42">
        <f t="shared" si="57"/>
        <v>0</v>
      </c>
      <c r="BX70" s="42">
        <f t="shared" si="57"/>
        <v>4000000</v>
      </c>
      <c r="BY70" s="42">
        <f t="shared" si="55"/>
        <v>0</v>
      </c>
      <c r="BZ70" s="42">
        <f t="shared" si="48"/>
        <v>0</v>
      </c>
      <c r="CA70" s="42"/>
      <c r="CB70" s="42">
        <f t="shared" si="49"/>
        <v>0</v>
      </c>
      <c r="CC70" s="43">
        <f t="shared" si="60"/>
        <v>0</v>
      </c>
      <c r="CD70" s="42">
        <f t="shared" si="50"/>
        <v>0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3">
        <f t="shared" si="61"/>
        <v>1</v>
      </c>
      <c r="DC70" s="42">
        <f t="shared" si="51"/>
        <v>4000000</v>
      </c>
      <c r="DD70" s="42">
        <f t="shared" si="58"/>
        <v>0</v>
      </c>
      <c r="DE70" s="42">
        <f t="shared" si="58"/>
        <v>0</v>
      </c>
      <c r="DF70" s="42">
        <f t="shared" si="58"/>
        <v>0</v>
      </c>
      <c r="DG70" s="42">
        <f t="shared" si="58"/>
        <v>0</v>
      </c>
      <c r="DH70" s="42">
        <f t="shared" si="58"/>
        <v>0</v>
      </c>
      <c r="DI70" s="42">
        <f t="shared" si="58"/>
        <v>0</v>
      </c>
      <c r="DJ70" s="42">
        <f t="shared" si="58"/>
        <v>0</v>
      </c>
      <c r="DK70" s="42">
        <f t="shared" si="58"/>
        <v>0</v>
      </c>
      <c r="DL70" s="42">
        <f t="shared" si="58"/>
        <v>0</v>
      </c>
      <c r="DM70" s="42">
        <f t="shared" si="58"/>
        <v>0</v>
      </c>
      <c r="DN70" s="42">
        <f t="shared" si="58"/>
        <v>0</v>
      </c>
      <c r="DO70" s="42">
        <f t="shared" si="58"/>
        <v>0</v>
      </c>
      <c r="DP70" s="42">
        <f t="shared" si="58"/>
        <v>0</v>
      </c>
      <c r="DQ70" s="42">
        <f t="shared" si="58"/>
        <v>0</v>
      </c>
      <c r="DR70" s="42">
        <f t="shared" si="58"/>
        <v>0</v>
      </c>
      <c r="DS70" s="42">
        <f t="shared" si="56"/>
        <v>0</v>
      </c>
      <c r="DT70" s="42">
        <f t="shared" si="53"/>
        <v>0</v>
      </c>
      <c r="DU70" s="42">
        <f t="shared" si="53"/>
        <v>0</v>
      </c>
      <c r="DV70" s="42">
        <f t="shared" si="53"/>
        <v>4000000</v>
      </c>
      <c r="DW70" s="42">
        <f t="shared" si="53"/>
        <v>0</v>
      </c>
      <c r="DX70" s="42">
        <f t="shared" si="53"/>
        <v>0</v>
      </c>
      <c r="DY70" s="42"/>
      <c r="DZ70" s="42">
        <f t="shared" si="54"/>
        <v>0</v>
      </c>
      <c r="EB70" s="47">
        <f t="shared" si="62"/>
        <v>4000000</v>
      </c>
      <c r="EC70" s="47">
        <f t="shared" si="63"/>
        <v>4000000</v>
      </c>
      <c r="ED70" s="47">
        <f t="shared" si="64"/>
        <v>4000000</v>
      </c>
    </row>
    <row r="71" spans="1:134" ht="15" customHeight="1" x14ac:dyDescent="0.3">
      <c r="A71" s="82"/>
      <c r="B71" s="86"/>
      <c r="C71" s="38" t="s">
        <v>210</v>
      </c>
      <c r="D71" s="50" t="s">
        <v>211</v>
      </c>
      <c r="E71" s="40">
        <v>410</v>
      </c>
      <c r="F71" s="41" t="s">
        <v>139</v>
      </c>
      <c r="G71" s="42">
        <f t="shared" si="42"/>
        <v>152000000</v>
      </c>
      <c r="H71" s="42"/>
      <c r="I71" s="42"/>
      <c r="J71" s="42"/>
      <c r="K71" s="42"/>
      <c r="L71" s="42"/>
      <c r="M71" s="42"/>
      <c r="N71" s="42"/>
      <c r="O71" s="42">
        <f>80000000+42000000</f>
        <v>122000000</v>
      </c>
      <c r="P71" s="42"/>
      <c r="Q71" s="42"/>
      <c r="R71" s="42"/>
      <c r="S71" s="42">
        <f>30000000</f>
        <v>30000000</v>
      </c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3">
        <f t="shared" si="32"/>
        <v>0.62407023684210527</v>
      </c>
      <c r="AF71" s="42">
        <f t="shared" si="43"/>
        <v>94858676</v>
      </c>
      <c r="AG71" s="42"/>
      <c r="AH71" s="42"/>
      <c r="AI71" s="42"/>
      <c r="AJ71" s="42"/>
      <c r="AK71" s="42"/>
      <c r="AL71" s="42"/>
      <c r="AM71" s="42"/>
      <c r="AN71" s="42">
        <f>+'[3]NOVIEMBRE 2019'!$Q$3132</f>
        <v>94858676</v>
      </c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3">
        <f t="shared" si="59"/>
        <v>0.37592976315789473</v>
      </c>
      <c r="BE71" s="42">
        <f t="shared" si="44"/>
        <v>57141324</v>
      </c>
      <c r="BF71" s="42">
        <f t="shared" si="45"/>
        <v>0</v>
      </c>
      <c r="BG71" s="42">
        <f t="shared" si="45"/>
        <v>0</v>
      </c>
      <c r="BH71" s="42">
        <f t="shared" si="45"/>
        <v>0</v>
      </c>
      <c r="BI71" s="42">
        <f t="shared" si="46"/>
        <v>0</v>
      </c>
      <c r="BJ71" s="42">
        <f t="shared" si="57"/>
        <v>0</v>
      </c>
      <c r="BK71" s="42">
        <f t="shared" si="57"/>
        <v>0</v>
      </c>
      <c r="BL71" s="42">
        <f t="shared" si="57"/>
        <v>0</v>
      </c>
      <c r="BM71" s="42">
        <f t="shared" si="57"/>
        <v>27141324</v>
      </c>
      <c r="BN71" s="42">
        <f t="shared" si="57"/>
        <v>0</v>
      </c>
      <c r="BO71" s="42">
        <f t="shared" si="57"/>
        <v>0</v>
      </c>
      <c r="BP71" s="42">
        <f t="shared" si="57"/>
        <v>0</v>
      </c>
      <c r="BQ71" s="42">
        <f t="shared" si="57"/>
        <v>30000000</v>
      </c>
      <c r="BR71" s="42">
        <f t="shared" si="57"/>
        <v>0</v>
      </c>
      <c r="BS71" s="42">
        <f t="shared" si="57"/>
        <v>0</v>
      </c>
      <c r="BT71" s="42">
        <f t="shared" si="57"/>
        <v>0</v>
      </c>
      <c r="BU71" s="42">
        <f t="shared" si="57"/>
        <v>0</v>
      </c>
      <c r="BV71" s="42">
        <f t="shared" si="57"/>
        <v>0</v>
      </c>
      <c r="BW71" s="42">
        <f t="shared" si="57"/>
        <v>0</v>
      </c>
      <c r="BX71" s="42">
        <f t="shared" si="57"/>
        <v>0</v>
      </c>
      <c r="BY71" s="42">
        <f t="shared" si="55"/>
        <v>0</v>
      </c>
      <c r="BZ71" s="42">
        <f t="shared" si="48"/>
        <v>0</v>
      </c>
      <c r="CA71" s="42"/>
      <c r="CB71" s="42">
        <f t="shared" si="49"/>
        <v>0</v>
      </c>
      <c r="CC71" s="43">
        <f t="shared" si="60"/>
        <v>0.5525899671052632</v>
      </c>
      <c r="CD71" s="42">
        <f t="shared" si="50"/>
        <v>83993675</v>
      </c>
      <c r="CE71" s="42"/>
      <c r="CF71" s="42"/>
      <c r="CG71" s="42"/>
      <c r="CH71" s="42"/>
      <c r="CI71" s="42"/>
      <c r="CJ71" s="42"/>
      <c r="CK71" s="42"/>
      <c r="CL71" s="42">
        <f>+'[3]NOVIEMBRE 2019'!$H$3130</f>
        <v>83993675</v>
      </c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3">
        <f t="shared" si="61"/>
        <v>0.4474100328947368</v>
      </c>
      <c r="DC71" s="42">
        <f t="shared" si="51"/>
        <v>68006325</v>
      </c>
      <c r="DD71" s="42">
        <f t="shared" si="58"/>
        <v>0</v>
      </c>
      <c r="DE71" s="42">
        <f t="shared" si="58"/>
        <v>0</v>
      </c>
      <c r="DF71" s="42">
        <f t="shared" si="58"/>
        <v>0</v>
      </c>
      <c r="DG71" s="42">
        <f t="shared" si="58"/>
        <v>0</v>
      </c>
      <c r="DH71" s="42">
        <f t="shared" si="58"/>
        <v>0</v>
      </c>
      <c r="DI71" s="42">
        <f t="shared" si="58"/>
        <v>0</v>
      </c>
      <c r="DJ71" s="42">
        <f t="shared" si="58"/>
        <v>0</v>
      </c>
      <c r="DK71" s="42">
        <f t="shared" si="58"/>
        <v>38006325</v>
      </c>
      <c r="DL71" s="42">
        <f t="shared" si="58"/>
        <v>0</v>
      </c>
      <c r="DM71" s="42">
        <f t="shared" si="58"/>
        <v>0</v>
      </c>
      <c r="DN71" s="42">
        <f t="shared" si="58"/>
        <v>0</v>
      </c>
      <c r="DO71" s="42">
        <f t="shared" si="58"/>
        <v>30000000</v>
      </c>
      <c r="DP71" s="42">
        <f t="shared" si="58"/>
        <v>0</v>
      </c>
      <c r="DQ71" s="42">
        <f t="shared" si="58"/>
        <v>0</v>
      </c>
      <c r="DR71" s="42">
        <f t="shared" si="58"/>
        <v>0</v>
      </c>
      <c r="DS71" s="42">
        <f t="shared" si="56"/>
        <v>0</v>
      </c>
      <c r="DT71" s="42">
        <f t="shared" si="53"/>
        <v>0</v>
      </c>
      <c r="DU71" s="42">
        <f t="shared" si="53"/>
        <v>0</v>
      </c>
      <c r="DV71" s="42">
        <f t="shared" si="53"/>
        <v>0</v>
      </c>
      <c r="DW71" s="42">
        <f t="shared" si="53"/>
        <v>0</v>
      </c>
      <c r="DX71" s="42">
        <f t="shared" si="53"/>
        <v>0</v>
      </c>
      <c r="DY71" s="42"/>
      <c r="DZ71" s="42">
        <f t="shared" si="54"/>
        <v>0</v>
      </c>
      <c r="EB71" s="47">
        <f t="shared" si="62"/>
        <v>152000000</v>
      </c>
      <c r="EC71" s="47">
        <f t="shared" si="63"/>
        <v>152000000</v>
      </c>
      <c r="ED71" s="47">
        <f t="shared" si="64"/>
        <v>152000000</v>
      </c>
    </row>
    <row r="72" spans="1:134" ht="42.6" customHeight="1" x14ac:dyDescent="0.3">
      <c r="A72" s="82"/>
      <c r="B72" s="87" t="s">
        <v>212</v>
      </c>
      <c r="C72" s="38" t="s">
        <v>213</v>
      </c>
      <c r="D72" s="39" t="s">
        <v>214</v>
      </c>
      <c r="E72" s="40">
        <v>410</v>
      </c>
      <c r="F72" s="41" t="s">
        <v>139</v>
      </c>
      <c r="G72" s="42">
        <f t="shared" si="42"/>
        <v>3757651561</v>
      </c>
      <c r="H72" s="42"/>
      <c r="I72" s="42"/>
      <c r="J72" s="42"/>
      <c r="K72" s="42"/>
      <c r="L72" s="42"/>
      <c r="M72" s="42"/>
      <c r="N72" s="42"/>
      <c r="O72" s="42">
        <f>100000000</f>
        <v>100000000</v>
      </c>
      <c r="P72" s="42"/>
      <c r="Q72" s="42"/>
      <c r="R72" s="42"/>
      <c r="S72" s="42"/>
      <c r="T72" s="42"/>
      <c r="U72" s="42"/>
      <c r="V72" s="42"/>
      <c r="W72" s="42">
        <f>3000000000+457651561</f>
        <v>3457651561</v>
      </c>
      <c r="X72" s="42"/>
      <c r="Y72" s="42"/>
      <c r="Z72" s="42">
        <v>200000000</v>
      </c>
      <c r="AA72" s="42"/>
      <c r="AB72" s="42"/>
      <c r="AC72" s="42"/>
      <c r="AD72" s="42"/>
      <c r="AE72" s="43">
        <f t="shared" si="32"/>
        <v>0.51570510212082965</v>
      </c>
      <c r="AF72" s="42">
        <f t="shared" si="43"/>
        <v>1937840082</v>
      </c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>
        <f>+'[4]JULIO 2019'!$X$1802</f>
        <v>1778728458</v>
      </c>
      <c r="AW72" s="42"/>
      <c r="AX72" s="42"/>
      <c r="AY72" s="42">
        <f>+'[8]AGOSTO 2019'!$AA$2083</f>
        <v>159111624</v>
      </c>
      <c r="AZ72" s="42"/>
      <c r="BA72" s="42"/>
      <c r="BB72" s="42"/>
      <c r="BC72" s="42"/>
      <c r="BD72" s="43">
        <f t="shared" si="59"/>
        <v>0.48429489787917035</v>
      </c>
      <c r="BE72" s="42">
        <f t="shared" si="44"/>
        <v>1819811479</v>
      </c>
      <c r="BF72" s="42">
        <f t="shared" si="45"/>
        <v>0</v>
      </c>
      <c r="BG72" s="42">
        <f t="shared" si="45"/>
        <v>0</v>
      </c>
      <c r="BH72" s="42">
        <f t="shared" si="45"/>
        <v>0</v>
      </c>
      <c r="BI72" s="42">
        <f t="shared" si="46"/>
        <v>0</v>
      </c>
      <c r="BJ72" s="42">
        <f t="shared" si="57"/>
        <v>0</v>
      </c>
      <c r="BK72" s="42">
        <f t="shared" si="57"/>
        <v>0</v>
      </c>
      <c r="BL72" s="42">
        <f t="shared" si="57"/>
        <v>0</v>
      </c>
      <c r="BM72" s="42">
        <f t="shared" si="57"/>
        <v>100000000</v>
      </c>
      <c r="BN72" s="42">
        <f t="shared" si="57"/>
        <v>0</v>
      </c>
      <c r="BO72" s="42">
        <f t="shared" si="57"/>
        <v>0</v>
      </c>
      <c r="BP72" s="42">
        <f t="shared" si="57"/>
        <v>0</v>
      </c>
      <c r="BQ72" s="42">
        <f t="shared" si="57"/>
        <v>0</v>
      </c>
      <c r="BR72" s="42">
        <f t="shared" si="57"/>
        <v>0</v>
      </c>
      <c r="BS72" s="42">
        <f t="shared" si="57"/>
        <v>0</v>
      </c>
      <c r="BT72" s="42">
        <f t="shared" si="57"/>
        <v>0</v>
      </c>
      <c r="BU72" s="42">
        <f t="shared" si="57"/>
        <v>1678923103</v>
      </c>
      <c r="BV72" s="42">
        <f t="shared" si="57"/>
        <v>0</v>
      </c>
      <c r="BW72" s="42">
        <f t="shared" si="57"/>
        <v>0</v>
      </c>
      <c r="BX72" s="42">
        <f t="shared" si="57"/>
        <v>40888376</v>
      </c>
      <c r="BY72" s="42">
        <f t="shared" si="55"/>
        <v>0</v>
      </c>
      <c r="BZ72" s="42">
        <f t="shared" si="48"/>
        <v>0</v>
      </c>
      <c r="CA72" s="42"/>
      <c r="CB72" s="42">
        <f t="shared" si="49"/>
        <v>0</v>
      </c>
      <c r="CC72" s="43">
        <f t="shared" si="60"/>
        <v>0.3009486943220066</v>
      </c>
      <c r="CD72" s="42">
        <f t="shared" si="50"/>
        <v>1130860331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>
        <f>'[3]NOVIEMBRE 2019'!$H$3158-CW72</f>
        <v>1078397268</v>
      </c>
      <c r="CU72" s="42"/>
      <c r="CV72" s="42"/>
      <c r="CW72" s="42">
        <f>+'[3]NOVIEMBRE 2019'!$H$3214+'[3]NOVIEMBRE 2019'!$H$3225+'[3]NOVIEMBRE 2019'!$H$3235+'[3]NOVIEMBRE 2019'!$H$3292+'[3]NOVIEMBRE 2019'!$H$3304</f>
        <v>52463063</v>
      </c>
      <c r="CX72" s="42"/>
      <c r="CY72" s="42"/>
      <c r="CZ72" s="42"/>
      <c r="DA72" s="42"/>
      <c r="DB72" s="43">
        <f t="shared" si="61"/>
        <v>0.69905130567799345</v>
      </c>
      <c r="DC72" s="42">
        <f t="shared" si="51"/>
        <v>2626791230</v>
      </c>
      <c r="DD72" s="42">
        <f t="shared" si="58"/>
        <v>0</v>
      </c>
      <c r="DE72" s="42">
        <f t="shared" si="58"/>
        <v>0</v>
      </c>
      <c r="DF72" s="42">
        <f t="shared" si="58"/>
        <v>0</v>
      </c>
      <c r="DG72" s="42">
        <f t="shared" si="58"/>
        <v>0</v>
      </c>
      <c r="DH72" s="42">
        <f t="shared" si="58"/>
        <v>0</v>
      </c>
      <c r="DI72" s="42">
        <f t="shared" si="58"/>
        <v>0</v>
      </c>
      <c r="DJ72" s="42">
        <f t="shared" si="58"/>
        <v>0</v>
      </c>
      <c r="DK72" s="42">
        <f t="shared" si="58"/>
        <v>100000000</v>
      </c>
      <c r="DL72" s="42">
        <f t="shared" si="58"/>
        <v>0</v>
      </c>
      <c r="DM72" s="42">
        <f t="shared" si="58"/>
        <v>0</v>
      </c>
      <c r="DN72" s="42">
        <f t="shared" si="58"/>
        <v>0</v>
      </c>
      <c r="DO72" s="42">
        <f t="shared" si="58"/>
        <v>0</v>
      </c>
      <c r="DP72" s="42">
        <f t="shared" si="58"/>
        <v>0</v>
      </c>
      <c r="DQ72" s="42">
        <f t="shared" si="58"/>
        <v>0</v>
      </c>
      <c r="DR72" s="42">
        <f t="shared" si="58"/>
        <v>0</v>
      </c>
      <c r="DS72" s="42">
        <f t="shared" si="56"/>
        <v>2379254293</v>
      </c>
      <c r="DT72" s="42">
        <f t="shared" si="53"/>
        <v>0</v>
      </c>
      <c r="DU72" s="42">
        <f t="shared" si="53"/>
        <v>0</v>
      </c>
      <c r="DV72" s="42">
        <f t="shared" si="53"/>
        <v>147536937</v>
      </c>
      <c r="DW72" s="42">
        <f t="shared" si="53"/>
        <v>0</v>
      </c>
      <c r="DX72" s="42">
        <f t="shared" si="53"/>
        <v>0</v>
      </c>
      <c r="DY72" s="42"/>
      <c r="DZ72" s="42">
        <f t="shared" si="54"/>
        <v>0</v>
      </c>
      <c r="EB72" s="47">
        <f t="shared" si="62"/>
        <v>3757651561</v>
      </c>
      <c r="EC72" s="47">
        <f t="shared" si="63"/>
        <v>3757651561</v>
      </c>
      <c r="ED72" s="47">
        <f t="shared" si="64"/>
        <v>3757651561</v>
      </c>
    </row>
    <row r="73" spans="1:134" ht="43.2" customHeight="1" x14ac:dyDescent="0.3">
      <c r="A73" s="88"/>
      <c r="B73" s="75" t="s">
        <v>215</v>
      </c>
      <c r="C73" s="38" t="s">
        <v>216</v>
      </c>
      <c r="D73" s="50" t="s">
        <v>217</v>
      </c>
      <c r="E73" s="40">
        <v>410</v>
      </c>
      <c r="F73" s="41" t="s">
        <v>139</v>
      </c>
      <c r="G73" s="42">
        <f t="shared" si="42"/>
        <v>30000000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>
        <f>15000000+15000000</f>
        <v>30000000</v>
      </c>
      <c r="AA73" s="42"/>
      <c r="AB73" s="42"/>
      <c r="AC73" s="42"/>
      <c r="AD73" s="42"/>
      <c r="AE73" s="43">
        <f t="shared" si="32"/>
        <v>0.78402593333333337</v>
      </c>
      <c r="AF73" s="42">
        <f t="shared" si="43"/>
        <v>23520778</v>
      </c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>
        <f>+'[8]AGOSTO 2019'!$AA$2265</f>
        <v>23520778</v>
      </c>
      <c r="AZ73" s="42"/>
      <c r="BA73" s="42"/>
      <c r="BB73" s="42"/>
      <c r="BC73" s="42"/>
      <c r="BD73" s="43">
        <f t="shared" si="59"/>
        <v>0.21597406666666663</v>
      </c>
      <c r="BE73" s="42">
        <f t="shared" si="44"/>
        <v>6479222</v>
      </c>
      <c r="BF73" s="42">
        <f t="shared" si="45"/>
        <v>0</v>
      </c>
      <c r="BG73" s="42">
        <f t="shared" si="45"/>
        <v>0</v>
      </c>
      <c r="BH73" s="42">
        <f t="shared" si="45"/>
        <v>0</v>
      </c>
      <c r="BI73" s="42">
        <f t="shared" si="46"/>
        <v>0</v>
      </c>
      <c r="BJ73" s="42">
        <f t="shared" ref="BJ73:BX79" si="65">L73-AK73</f>
        <v>0</v>
      </c>
      <c r="BK73" s="42">
        <f t="shared" si="65"/>
        <v>0</v>
      </c>
      <c r="BL73" s="42">
        <f t="shared" si="65"/>
        <v>0</v>
      </c>
      <c r="BM73" s="42">
        <f t="shared" si="65"/>
        <v>0</v>
      </c>
      <c r="BN73" s="42">
        <f t="shared" si="65"/>
        <v>0</v>
      </c>
      <c r="BO73" s="42">
        <f t="shared" si="65"/>
        <v>0</v>
      </c>
      <c r="BP73" s="42">
        <f t="shared" si="65"/>
        <v>0</v>
      </c>
      <c r="BQ73" s="42">
        <f t="shared" si="65"/>
        <v>0</v>
      </c>
      <c r="BR73" s="42">
        <f t="shared" si="65"/>
        <v>0</v>
      </c>
      <c r="BS73" s="42">
        <f t="shared" si="65"/>
        <v>0</v>
      </c>
      <c r="BT73" s="42">
        <f t="shared" si="65"/>
        <v>0</v>
      </c>
      <c r="BU73" s="42">
        <f t="shared" si="65"/>
        <v>0</v>
      </c>
      <c r="BV73" s="42">
        <f t="shared" si="65"/>
        <v>0</v>
      </c>
      <c r="BW73" s="42">
        <f t="shared" si="65"/>
        <v>0</v>
      </c>
      <c r="BX73" s="42">
        <f t="shared" si="65"/>
        <v>6479222</v>
      </c>
      <c r="BY73" s="42">
        <f t="shared" si="55"/>
        <v>0</v>
      </c>
      <c r="BZ73" s="42">
        <f t="shared" si="48"/>
        <v>0</v>
      </c>
      <c r="CA73" s="42"/>
      <c r="CB73" s="42">
        <f t="shared" si="49"/>
        <v>0</v>
      </c>
      <c r="CC73" s="43">
        <f t="shared" si="60"/>
        <v>0.78402583333333331</v>
      </c>
      <c r="CD73" s="42">
        <f t="shared" si="50"/>
        <v>23520775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>
        <f>+'[8]AGOSTO 2019'!$H$2263</f>
        <v>23520775</v>
      </c>
      <c r="CX73" s="42"/>
      <c r="CY73" s="42"/>
      <c r="CZ73" s="42"/>
      <c r="DA73" s="42"/>
      <c r="DB73" s="43">
        <f t="shared" si="61"/>
        <v>0.21597416666666669</v>
      </c>
      <c r="DC73" s="42">
        <f t="shared" si="51"/>
        <v>6479225</v>
      </c>
      <c r="DD73" s="42">
        <f t="shared" ref="DD73:DR79" si="66">H73-CE73</f>
        <v>0</v>
      </c>
      <c r="DE73" s="42">
        <f t="shared" si="66"/>
        <v>0</v>
      </c>
      <c r="DF73" s="42">
        <f t="shared" si="66"/>
        <v>0</v>
      </c>
      <c r="DG73" s="42">
        <f t="shared" si="66"/>
        <v>0</v>
      </c>
      <c r="DH73" s="42">
        <f t="shared" si="66"/>
        <v>0</v>
      </c>
      <c r="DI73" s="42">
        <f t="shared" si="66"/>
        <v>0</v>
      </c>
      <c r="DJ73" s="42">
        <f t="shared" si="66"/>
        <v>0</v>
      </c>
      <c r="DK73" s="42">
        <f t="shared" si="66"/>
        <v>0</v>
      </c>
      <c r="DL73" s="42">
        <f t="shared" si="66"/>
        <v>0</v>
      </c>
      <c r="DM73" s="42">
        <f t="shared" si="66"/>
        <v>0</v>
      </c>
      <c r="DN73" s="42">
        <f t="shared" si="66"/>
        <v>0</v>
      </c>
      <c r="DO73" s="42">
        <f t="shared" si="66"/>
        <v>0</v>
      </c>
      <c r="DP73" s="42">
        <f t="shared" si="66"/>
        <v>0</v>
      </c>
      <c r="DQ73" s="42">
        <f t="shared" si="66"/>
        <v>0</v>
      </c>
      <c r="DR73" s="42">
        <f t="shared" si="66"/>
        <v>0</v>
      </c>
      <c r="DS73" s="42">
        <f t="shared" si="56"/>
        <v>0</v>
      </c>
      <c r="DT73" s="42">
        <f t="shared" si="53"/>
        <v>0</v>
      </c>
      <c r="DU73" s="42">
        <f t="shared" si="53"/>
        <v>0</v>
      </c>
      <c r="DV73" s="42">
        <f t="shared" si="53"/>
        <v>6479225</v>
      </c>
      <c r="DW73" s="42">
        <f t="shared" si="53"/>
        <v>0</v>
      </c>
      <c r="DX73" s="42">
        <f t="shared" si="53"/>
        <v>0</v>
      </c>
      <c r="DY73" s="42"/>
      <c r="DZ73" s="42">
        <f t="shared" si="54"/>
        <v>0</v>
      </c>
      <c r="EB73" s="47">
        <f t="shared" si="62"/>
        <v>30000000</v>
      </c>
      <c r="EC73" s="47">
        <f t="shared" si="63"/>
        <v>30000000</v>
      </c>
      <c r="ED73" s="47">
        <f t="shared" si="64"/>
        <v>30000000</v>
      </c>
    </row>
    <row r="74" spans="1:134" ht="58.8" customHeight="1" x14ac:dyDescent="0.3">
      <c r="A74" s="88"/>
      <c r="B74" s="75"/>
      <c r="C74" s="38" t="s">
        <v>218</v>
      </c>
      <c r="D74" s="50" t="s">
        <v>219</v>
      </c>
      <c r="E74" s="40">
        <v>410</v>
      </c>
      <c r="F74" s="41" t="s">
        <v>139</v>
      </c>
      <c r="G74" s="42">
        <f t="shared" si="42"/>
        <v>0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3" t="e">
        <f t="shared" si="32"/>
        <v>#DIV/0!</v>
      </c>
      <c r="AF74" s="42">
        <f t="shared" si="43"/>
        <v>0</v>
      </c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3" t="e">
        <f t="shared" si="59"/>
        <v>#DIV/0!</v>
      </c>
      <c r="BE74" s="42">
        <f t="shared" si="44"/>
        <v>0</v>
      </c>
      <c r="BF74" s="42">
        <f t="shared" si="45"/>
        <v>0</v>
      </c>
      <c r="BG74" s="42">
        <f t="shared" si="45"/>
        <v>0</v>
      </c>
      <c r="BH74" s="42">
        <f t="shared" si="45"/>
        <v>0</v>
      </c>
      <c r="BI74" s="42">
        <f t="shared" si="46"/>
        <v>0</v>
      </c>
      <c r="BJ74" s="42">
        <f t="shared" si="65"/>
        <v>0</v>
      </c>
      <c r="BK74" s="42">
        <f t="shared" si="65"/>
        <v>0</v>
      </c>
      <c r="BL74" s="42">
        <f t="shared" si="65"/>
        <v>0</v>
      </c>
      <c r="BM74" s="42">
        <f t="shared" si="65"/>
        <v>0</v>
      </c>
      <c r="BN74" s="42">
        <f t="shared" si="65"/>
        <v>0</v>
      </c>
      <c r="BO74" s="42">
        <f t="shared" si="65"/>
        <v>0</v>
      </c>
      <c r="BP74" s="42">
        <f t="shared" si="65"/>
        <v>0</v>
      </c>
      <c r="BQ74" s="42">
        <f t="shared" si="65"/>
        <v>0</v>
      </c>
      <c r="BR74" s="42">
        <f t="shared" si="65"/>
        <v>0</v>
      </c>
      <c r="BS74" s="42">
        <f t="shared" si="65"/>
        <v>0</v>
      </c>
      <c r="BT74" s="42">
        <f t="shared" si="65"/>
        <v>0</v>
      </c>
      <c r="BU74" s="42">
        <f t="shared" si="65"/>
        <v>0</v>
      </c>
      <c r="BV74" s="42">
        <f t="shared" si="65"/>
        <v>0</v>
      </c>
      <c r="BW74" s="42">
        <f t="shared" si="65"/>
        <v>0</v>
      </c>
      <c r="BX74" s="42">
        <f t="shared" si="65"/>
        <v>0</v>
      </c>
      <c r="BY74" s="42">
        <f t="shared" si="55"/>
        <v>0</v>
      </c>
      <c r="BZ74" s="42">
        <f t="shared" si="48"/>
        <v>0</v>
      </c>
      <c r="CA74" s="42"/>
      <c r="CB74" s="42">
        <f t="shared" si="49"/>
        <v>0</v>
      </c>
      <c r="CC74" s="43" t="e">
        <f t="shared" si="60"/>
        <v>#DIV/0!</v>
      </c>
      <c r="CD74" s="42">
        <f t="shared" si="50"/>
        <v>0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3" t="e">
        <f t="shared" si="61"/>
        <v>#DIV/0!</v>
      </c>
      <c r="DC74" s="42">
        <f t="shared" si="51"/>
        <v>0</v>
      </c>
      <c r="DD74" s="42">
        <f t="shared" si="66"/>
        <v>0</v>
      </c>
      <c r="DE74" s="42">
        <f t="shared" si="66"/>
        <v>0</v>
      </c>
      <c r="DF74" s="42">
        <f t="shared" si="66"/>
        <v>0</v>
      </c>
      <c r="DG74" s="42">
        <f t="shared" si="66"/>
        <v>0</v>
      </c>
      <c r="DH74" s="42">
        <f t="shared" si="66"/>
        <v>0</v>
      </c>
      <c r="DI74" s="42">
        <f t="shared" si="66"/>
        <v>0</v>
      </c>
      <c r="DJ74" s="42">
        <f t="shared" si="66"/>
        <v>0</v>
      </c>
      <c r="DK74" s="42">
        <f t="shared" si="66"/>
        <v>0</v>
      </c>
      <c r="DL74" s="42">
        <f t="shared" si="66"/>
        <v>0</v>
      </c>
      <c r="DM74" s="42">
        <f t="shared" si="66"/>
        <v>0</v>
      </c>
      <c r="DN74" s="42">
        <f t="shared" si="66"/>
        <v>0</v>
      </c>
      <c r="DO74" s="42">
        <f t="shared" si="66"/>
        <v>0</v>
      </c>
      <c r="DP74" s="42">
        <f t="shared" si="66"/>
        <v>0</v>
      </c>
      <c r="DQ74" s="42">
        <f t="shared" si="66"/>
        <v>0</v>
      </c>
      <c r="DR74" s="42">
        <f t="shared" si="66"/>
        <v>0</v>
      </c>
      <c r="DS74" s="42">
        <f t="shared" si="56"/>
        <v>0</v>
      </c>
      <c r="DT74" s="42">
        <f t="shared" si="53"/>
        <v>0</v>
      </c>
      <c r="DU74" s="42">
        <f t="shared" si="53"/>
        <v>0</v>
      </c>
      <c r="DV74" s="42">
        <f t="shared" si="53"/>
        <v>0</v>
      </c>
      <c r="DW74" s="42">
        <f t="shared" si="53"/>
        <v>0</v>
      </c>
      <c r="DX74" s="42">
        <f t="shared" si="53"/>
        <v>0</v>
      </c>
      <c r="DY74" s="42"/>
      <c r="DZ74" s="42">
        <f t="shared" si="54"/>
        <v>0</v>
      </c>
      <c r="EB74" s="47">
        <f t="shared" si="62"/>
        <v>0</v>
      </c>
      <c r="EC74" s="47">
        <f t="shared" si="63"/>
        <v>0</v>
      </c>
      <c r="ED74" s="47">
        <f t="shared" si="64"/>
        <v>0</v>
      </c>
    </row>
    <row r="75" spans="1:134" ht="28.8" customHeight="1" x14ac:dyDescent="0.3">
      <c r="A75" s="82"/>
      <c r="B75" s="80" t="s">
        <v>220</v>
      </c>
      <c r="C75" s="38" t="s">
        <v>221</v>
      </c>
      <c r="D75" s="50" t="s">
        <v>222</v>
      </c>
      <c r="E75" s="40">
        <v>410</v>
      </c>
      <c r="F75" s="41" t="s">
        <v>223</v>
      </c>
      <c r="G75" s="42">
        <f t="shared" si="42"/>
        <v>157000000</v>
      </c>
      <c r="H75" s="42"/>
      <c r="I75" s="42"/>
      <c r="J75" s="42"/>
      <c r="K75" s="42"/>
      <c r="L75" s="42"/>
      <c r="M75" s="42"/>
      <c r="N75" s="58"/>
      <c r="O75" s="42">
        <f>32000000+15000000</f>
        <v>47000000</v>
      </c>
      <c r="P75" s="58"/>
      <c r="Q75" s="58"/>
      <c r="R75" s="42"/>
      <c r="S75" s="42">
        <f>20000000</f>
        <v>20000000</v>
      </c>
      <c r="T75" s="42"/>
      <c r="U75" s="42"/>
      <c r="V75" s="42"/>
      <c r="W75" s="42"/>
      <c r="X75" s="42"/>
      <c r="Y75" s="42"/>
      <c r="Z75" s="42">
        <f>50000000+15000000</f>
        <v>65000000</v>
      </c>
      <c r="AA75" s="42"/>
      <c r="AB75" s="42"/>
      <c r="AC75" s="42"/>
      <c r="AD75" s="42">
        <f>25000000</f>
        <v>25000000</v>
      </c>
      <c r="AE75" s="43">
        <f t="shared" si="32"/>
        <v>0.96898531210191086</v>
      </c>
      <c r="AF75" s="42">
        <f t="shared" si="43"/>
        <v>152130694</v>
      </c>
      <c r="AG75" s="42"/>
      <c r="AH75" s="42"/>
      <c r="AI75" s="42"/>
      <c r="AJ75" s="42"/>
      <c r="AK75" s="42"/>
      <c r="AL75" s="42"/>
      <c r="AM75" s="42"/>
      <c r="AN75" s="42">
        <f>+'[3]NOVIEMBRE 2019'!$Q$3448</f>
        <v>45418660</v>
      </c>
      <c r="AO75" s="42"/>
      <c r="AP75" s="42"/>
      <c r="AQ75" s="42"/>
      <c r="AR75" s="42">
        <f>+'[3]NOVIEMBRE 2019'!$U$3448</f>
        <v>18457751</v>
      </c>
      <c r="AS75" s="42"/>
      <c r="AT75" s="42"/>
      <c r="AU75" s="42"/>
      <c r="AV75" s="42"/>
      <c r="AW75" s="42"/>
      <c r="AX75" s="42"/>
      <c r="AY75" s="42">
        <f>+'[3]NOVIEMBRE 2019'!$AB$3448</f>
        <v>63254283</v>
      </c>
      <c r="AZ75" s="42"/>
      <c r="BA75" s="42"/>
      <c r="BB75" s="42"/>
      <c r="BC75" s="42">
        <f>+'[3]NOVIEMBRE 2019'!$AG$3448</f>
        <v>25000000</v>
      </c>
      <c r="BD75" s="43">
        <f t="shared" si="59"/>
        <v>3.1014687898089144E-2</v>
      </c>
      <c r="BE75" s="42">
        <f t="shared" si="44"/>
        <v>4869306</v>
      </c>
      <c r="BF75" s="42">
        <f t="shared" si="45"/>
        <v>0</v>
      </c>
      <c r="BG75" s="42">
        <f t="shared" si="45"/>
        <v>0</v>
      </c>
      <c r="BH75" s="42">
        <f t="shared" si="45"/>
        <v>0</v>
      </c>
      <c r="BI75" s="42">
        <f t="shared" si="46"/>
        <v>0</v>
      </c>
      <c r="BJ75" s="42">
        <f t="shared" si="65"/>
        <v>0</v>
      </c>
      <c r="BK75" s="42">
        <f t="shared" si="65"/>
        <v>0</v>
      </c>
      <c r="BL75" s="42">
        <f t="shared" si="65"/>
        <v>0</v>
      </c>
      <c r="BM75" s="42">
        <f t="shared" si="65"/>
        <v>1581340</v>
      </c>
      <c r="BN75" s="42">
        <f t="shared" si="65"/>
        <v>0</v>
      </c>
      <c r="BO75" s="42">
        <f t="shared" si="65"/>
        <v>0</v>
      </c>
      <c r="BP75" s="42">
        <f t="shared" si="65"/>
        <v>0</v>
      </c>
      <c r="BQ75" s="42">
        <f t="shared" si="65"/>
        <v>1542249</v>
      </c>
      <c r="BR75" s="42">
        <f t="shared" si="65"/>
        <v>0</v>
      </c>
      <c r="BS75" s="42">
        <f t="shared" si="65"/>
        <v>0</v>
      </c>
      <c r="BT75" s="42">
        <f t="shared" si="65"/>
        <v>0</v>
      </c>
      <c r="BU75" s="42">
        <f t="shared" si="65"/>
        <v>0</v>
      </c>
      <c r="BV75" s="42">
        <f t="shared" si="65"/>
        <v>0</v>
      </c>
      <c r="BW75" s="42">
        <f t="shared" si="65"/>
        <v>0</v>
      </c>
      <c r="BX75" s="42">
        <f t="shared" si="65"/>
        <v>1745717</v>
      </c>
      <c r="BY75" s="42">
        <f t="shared" si="55"/>
        <v>0</v>
      </c>
      <c r="BZ75" s="42">
        <f t="shared" si="48"/>
        <v>0</v>
      </c>
      <c r="CA75" s="42"/>
      <c r="CB75" s="42">
        <f t="shared" si="49"/>
        <v>0</v>
      </c>
      <c r="CC75" s="43">
        <f t="shared" si="60"/>
        <v>0.62939356687898085</v>
      </c>
      <c r="CD75" s="42">
        <f t="shared" si="50"/>
        <v>98814790</v>
      </c>
      <c r="CE75" s="42"/>
      <c r="CF75" s="42"/>
      <c r="CG75" s="42"/>
      <c r="CH75" s="42"/>
      <c r="CI75" s="42"/>
      <c r="CJ75" s="42"/>
      <c r="CK75" s="42"/>
      <c r="CL75" s="42">
        <f>+'[3]NOVIEMBRE 2019'!$H$3455+'[3]NOVIEMBRE 2019'!$H$3463+'[3]NOVIEMBRE 2019'!$H$3473+'[3]NOVIEMBRE 2019'!$H$3474</f>
        <v>22222765</v>
      </c>
      <c r="CM75" s="42"/>
      <c r="CN75" s="42"/>
      <c r="CO75" s="42"/>
      <c r="CP75" s="42">
        <f>+'[3]NOVIEMBRE 2019'!$H$3453+'[3]NOVIEMBRE 2019'!$H$3466+'[3]NOVIEMBRE 2019'!$H$3478+'[3]NOVIEMBRE 2019'!$H$3485</f>
        <v>13337742</v>
      </c>
      <c r="CQ75" s="42"/>
      <c r="CR75" s="42"/>
      <c r="CS75" s="42"/>
      <c r="CT75" s="42"/>
      <c r="CU75" s="42"/>
      <c r="CV75" s="42"/>
      <c r="CW75" s="42">
        <f>+'[3]NOVIEMBRE 2019'!$H$3449+'[3]NOVIEMBRE 2019'!$H$3451+'[3]NOVIEMBRE 2019'!$H$3457+'[3]NOVIEMBRE 2019'!$H$3459+'[3]NOVIEMBRE 2019'!$H$3461+'[3]NOVIEMBRE 2019'!$H$3475+'[3]NOVIEMBRE 2019'!$H$3481</f>
        <v>63254283</v>
      </c>
      <c r="CX75" s="42"/>
      <c r="CY75" s="42"/>
      <c r="CZ75" s="42"/>
      <c r="DA75" s="42"/>
      <c r="DB75" s="43">
        <f t="shared" si="61"/>
        <v>0.37060643312101915</v>
      </c>
      <c r="DC75" s="42">
        <f t="shared" si="51"/>
        <v>58185210</v>
      </c>
      <c r="DD75" s="42">
        <f t="shared" si="66"/>
        <v>0</v>
      </c>
      <c r="DE75" s="42">
        <f t="shared" si="66"/>
        <v>0</v>
      </c>
      <c r="DF75" s="42">
        <f t="shared" si="66"/>
        <v>0</v>
      </c>
      <c r="DG75" s="42">
        <f t="shared" si="66"/>
        <v>0</v>
      </c>
      <c r="DH75" s="42">
        <f t="shared" si="66"/>
        <v>0</v>
      </c>
      <c r="DI75" s="42">
        <f t="shared" si="66"/>
        <v>0</v>
      </c>
      <c r="DJ75" s="42">
        <f t="shared" si="66"/>
        <v>0</v>
      </c>
      <c r="DK75" s="42">
        <f t="shared" si="66"/>
        <v>24777235</v>
      </c>
      <c r="DL75" s="42">
        <f t="shared" si="66"/>
        <v>0</v>
      </c>
      <c r="DM75" s="42">
        <f t="shared" si="66"/>
        <v>0</v>
      </c>
      <c r="DN75" s="42">
        <f t="shared" si="66"/>
        <v>0</v>
      </c>
      <c r="DO75" s="42">
        <f t="shared" si="66"/>
        <v>6662258</v>
      </c>
      <c r="DP75" s="42">
        <f t="shared" si="66"/>
        <v>0</v>
      </c>
      <c r="DQ75" s="42">
        <f t="shared" si="66"/>
        <v>0</v>
      </c>
      <c r="DR75" s="42">
        <f t="shared" si="66"/>
        <v>0</v>
      </c>
      <c r="DS75" s="42">
        <f t="shared" si="56"/>
        <v>0</v>
      </c>
      <c r="DT75" s="42">
        <f t="shared" si="53"/>
        <v>0</v>
      </c>
      <c r="DU75" s="42">
        <f t="shared" si="53"/>
        <v>0</v>
      </c>
      <c r="DV75" s="42">
        <f t="shared" si="53"/>
        <v>1745717</v>
      </c>
      <c r="DW75" s="42">
        <f t="shared" si="53"/>
        <v>0</v>
      </c>
      <c r="DX75" s="42">
        <f t="shared" si="53"/>
        <v>0</v>
      </c>
      <c r="DY75" s="42"/>
      <c r="DZ75" s="42">
        <f t="shared" si="54"/>
        <v>25000000</v>
      </c>
      <c r="EA75" s="73"/>
      <c r="EB75" s="47">
        <f t="shared" si="62"/>
        <v>157000000</v>
      </c>
      <c r="EC75" s="47">
        <f t="shared" si="63"/>
        <v>157000000</v>
      </c>
      <c r="ED75" s="47">
        <f t="shared" si="64"/>
        <v>157000000</v>
      </c>
    </row>
    <row r="76" spans="1:134" ht="42" customHeight="1" x14ac:dyDescent="0.3">
      <c r="A76" s="82"/>
      <c r="B76" s="80"/>
      <c r="C76" s="38" t="s">
        <v>224</v>
      </c>
      <c r="D76" s="50" t="s">
        <v>225</v>
      </c>
      <c r="E76" s="40">
        <v>410</v>
      </c>
      <c r="F76" s="41" t="s">
        <v>139</v>
      </c>
      <c r="G76" s="42">
        <f t="shared" si="42"/>
        <v>10000000</v>
      </c>
      <c r="H76" s="42"/>
      <c r="I76" s="42"/>
      <c r="J76" s="42"/>
      <c r="K76" s="42"/>
      <c r="L76" s="42"/>
      <c r="M76" s="42"/>
      <c r="N76" s="58"/>
      <c r="O76" s="42"/>
      <c r="P76" s="58"/>
      <c r="Q76" s="58"/>
      <c r="R76" s="42"/>
      <c r="S76" s="42"/>
      <c r="T76" s="42"/>
      <c r="U76" s="42"/>
      <c r="V76" s="42"/>
      <c r="W76" s="42"/>
      <c r="X76" s="42"/>
      <c r="Y76" s="42"/>
      <c r="Z76" s="42">
        <v>10000000</v>
      </c>
      <c r="AA76" s="42"/>
      <c r="AB76" s="42"/>
      <c r="AC76" s="42"/>
      <c r="AD76" s="42"/>
      <c r="AE76" s="43">
        <f t="shared" si="32"/>
        <v>0</v>
      </c>
      <c r="AF76" s="42">
        <f t="shared" si="43"/>
        <v>0</v>
      </c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3">
        <f t="shared" si="59"/>
        <v>1</v>
      </c>
      <c r="BE76" s="42">
        <f t="shared" si="44"/>
        <v>10000000</v>
      </c>
      <c r="BF76" s="42">
        <f t="shared" si="45"/>
        <v>0</v>
      </c>
      <c r="BG76" s="42">
        <f t="shared" si="45"/>
        <v>0</v>
      </c>
      <c r="BH76" s="42">
        <f t="shared" si="45"/>
        <v>0</v>
      </c>
      <c r="BI76" s="42">
        <f t="shared" si="46"/>
        <v>0</v>
      </c>
      <c r="BJ76" s="42">
        <f t="shared" si="65"/>
        <v>0</v>
      </c>
      <c r="BK76" s="42">
        <f t="shared" si="65"/>
        <v>0</v>
      </c>
      <c r="BL76" s="42">
        <f t="shared" si="65"/>
        <v>0</v>
      </c>
      <c r="BM76" s="42">
        <f t="shared" si="65"/>
        <v>0</v>
      </c>
      <c r="BN76" s="42">
        <f t="shared" si="65"/>
        <v>0</v>
      </c>
      <c r="BO76" s="42">
        <f t="shared" si="65"/>
        <v>0</v>
      </c>
      <c r="BP76" s="42">
        <f t="shared" si="65"/>
        <v>0</v>
      </c>
      <c r="BQ76" s="42">
        <f t="shared" si="65"/>
        <v>0</v>
      </c>
      <c r="BR76" s="42">
        <f t="shared" si="65"/>
        <v>0</v>
      </c>
      <c r="BS76" s="42">
        <f t="shared" si="65"/>
        <v>0</v>
      </c>
      <c r="BT76" s="42">
        <f t="shared" si="65"/>
        <v>0</v>
      </c>
      <c r="BU76" s="42">
        <f t="shared" si="65"/>
        <v>0</v>
      </c>
      <c r="BV76" s="42">
        <f t="shared" si="65"/>
        <v>0</v>
      </c>
      <c r="BW76" s="42">
        <f t="shared" si="65"/>
        <v>0</v>
      </c>
      <c r="BX76" s="42">
        <f t="shared" si="65"/>
        <v>10000000</v>
      </c>
      <c r="BY76" s="42">
        <f t="shared" si="55"/>
        <v>0</v>
      </c>
      <c r="BZ76" s="42">
        <f t="shared" si="48"/>
        <v>0</v>
      </c>
      <c r="CA76" s="42"/>
      <c r="CB76" s="42">
        <f t="shared" si="49"/>
        <v>0</v>
      </c>
      <c r="CC76" s="43">
        <f t="shared" si="60"/>
        <v>0</v>
      </c>
      <c r="CD76" s="42">
        <f t="shared" si="50"/>
        <v>0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3">
        <f t="shared" si="61"/>
        <v>1</v>
      </c>
      <c r="DC76" s="42">
        <f t="shared" si="51"/>
        <v>10000000</v>
      </c>
      <c r="DD76" s="42">
        <f t="shared" si="66"/>
        <v>0</v>
      </c>
      <c r="DE76" s="42">
        <f t="shared" si="66"/>
        <v>0</v>
      </c>
      <c r="DF76" s="42">
        <f t="shared" si="66"/>
        <v>0</v>
      </c>
      <c r="DG76" s="42">
        <f t="shared" si="66"/>
        <v>0</v>
      </c>
      <c r="DH76" s="42">
        <f t="shared" si="66"/>
        <v>0</v>
      </c>
      <c r="DI76" s="42">
        <f t="shared" si="66"/>
        <v>0</v>
      </c>
      <c r="DJ76" s="42">
        <f t="shared" si="66"/>
        <v>0</v>
      </c>
      <c r="DK76" s="42">
        <f t="shared" si="66"/>
        <v>0</v>
      </c>
      <c r="DL76" s="42">
        <f t="shared" si="66"/>
        <v>0</v>
      </c>
      <c r="DM76" s="42">
        <f t="shared" si="66"/>
        <v>0</v>
      </c>
      <c r="DN76" s="42">
        <f t="shared" si="66"/>
        <v>0</v>
      </c>
      <c r="DO76" s="42">
        <f t="shared" si="66"/>
        <v>0</v>
      </c>
      <c r="DP76" s="42">
        <f t="shared" si="66"/>
        <v>0</v>
      </c>
      <c r="DQ76" s="42">
        <f t="shared" si="66"/>
        <v>0</v>
      </c>
      <c r="DR76" s="42">
        <f t="shared" si="66"/>
        <v>0</v>
      </c>
      <c r="DS76" s="42">
        <f t="shared" si="56"/>
        <v>0</v>
      </c>
      <c r="DT76" s="42">
        <f t="shared" si="53"/>
        <v>0</v>
      </c>
      <c r="DU76" s="42">
        <f t="shared" si="53"/>
        <v>0</v>
      </c>
      <c r="DV76" s="42">
        <f t="shared" si="53"/>
        <v>10000000</v>
      </c>
      <c r="DW76" s="42">
        <f t="shared" si="53"/>
        <v>0</v>
      </c>
      <c r="DX76" s="42">
        <f t="shared" si="53"/>
        <v>0</v>
      </c>
      <c r="DY76" s="42"/>
      <c r="DZ76" s="42">
        <f t="shared" si="54"/>
        <v>0</v>
      </c>
      <c r="EA76" s="73"/>
      <c r="EB76" s="47">
        <f t="shared" si="62"/>
        <v>10000000</v>
      </c>
      <c r="EC76" s="47">
        <f t="shared" si="63"/>
        <v>10000000</v>
      </c>
      <c r="ED76" s="47">
        <f t="shared" si="64"/>
        <v>10000000</v>
      </c>
    </row>
    <row r="77" spans="1:134" ht="54" customHeight="1" x14ac:dyDescent="0.3">
      <c r="A77" s="82"/>
      <c r="B77" s="53" t="s">
        <v>226</v>
      </c>
      <c r="C77" s="38" t="s">
        <v>227</v>
      </c>
      <c r="D77" s="50" t="s">
        <v>228</v>
      </c>
      <c r="E77" s="40">
        <v>410</v>
      </c>
      <c r="F77" s="41" t="s">
        <v>229</v>
      </c>
      <c r="G77" s="42">
        <f t="shared" si="42"/>
        <v>236982598</v>
      </c>
      <c r="H77" s="42"/>
      <c r="I77" s="42"/>
      <c r="J77" s="42"/>
      <c r="K77" s="42"/>
      <c r="L77" s="42"/>
      <c r="M77" s="42"/>
      <c r="N77" s="58"/>
      <c r="O77" s="42">
        <f>50000000+50000000</f>
        <v>100000000</v>
      </c>
      <c r="P77" s="58"/>
      <c r="Q77" s="58"/>
      <c r="R77" s="42"/>
      <c r="S77" s="42"/>
      <c r="T77" s="42"/>
      <c r="U77" s="42"/>
      <c r="V77" s="42"/>
      <c r="W77" s="42"/>
      <c r="X77" s="42"/>
      <c r="Y77" s="42"/>
      <c r="Z77" s="42">
        <f>30000000+30000000</f>
        <v>60000000</v>
      </c>
      <c r="AA77" s="42"/>
      <c r="AB77" s="42"/>
      <c r="AC77" s="42"/>
      <c r="AD77" s="42">
        <f>50982598+4000000+18000000+4000000</f>
        <v>76982598</v>
      </c>
      <c r="AE77" s="43">
        <f t="shared" si="32"/>
        <v>0.83213772937032282</v>
      </c>
      <c r="AF77" s="42">
        <f t="shared" si="43"/>
        <v>197202161</v>
      </c>
      <c r="AG77" s="42"/>
      <c r="AH77" s="42"/>
      <c r="AI77" s="42"/>
      <c r="AJ77" s="42"/>
      <c r="AK77" s="42"/>
      <c r="AL77" s="42"/>
      <c r="AM77" s="42"/>
      <c r="AN77" s="42">
        <f>+'[3]NOVIEMBRE 2019'!$Q$3505</f>
        <v>91892248</v>
      </c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>
        <f>+'[3]NOVIEMBRE 2019'!$AB$3505</f>
        <v>37587315</v>
      </c>
      <c r="AZ77" s="42"/>
      <c r="BA77" s="42"/>
      <c r="BB77" s="42"/>
      <c r="BC77" s="42">
        <f>+'[1]OCTUBRE 2019'!$AG$3085</f>
        <v>67722598</v>
      </c>
      <c r="BD77" s="43">
        <f t="shared" si="59"/>
        <v>0.16786227062967718</v>
      </c>
      <c r="BE77" s="42">
        <f t="shared" si="44"/>
        <v>39780437</v>
      </c>
      <c r="BF77" s="42">
        <f t="shared" si="45"/>
        <v>0</v>
      </c>
      <c r="BG77" s="42">
        <f t="shared" si="45"/>
        <v>0</v>
      </c>
      <c r="BH77" s="42">
        <f t="shared" si="45"/>
        <v>0</v>
      </c>
      <c r="BI77" s="42">
        <f t="shared" si="46"/>
        <v>0</v>
      </c>
      <c r="BJ77" s="42">
        <f t="shared" si="65"/>
        <v>0</v>
      </c>
      <c r="BK77" s="42">
        <f t="shared" si="65"/>
        <v>0</v>
      </c>
      <c r="BL77" s="42">
        <f t="shared" si="65"/>
        <v>0</v>
      </c>
      <c r="BM77" s="42">
        <f t="shared" si="65"/>
        <v>8107752</v>
      </c>
      <c r="BN77" s="42">
        <f t="shared" si="65"/>
        <v>0</v>
      </c>
      <c r="BO77" s="42">
        <f t="shared" si="65"/>
        <v>0</v>
      </c>
      <c r="BP77" s="42">
        <f t="shared" si="65"/>
        <v>0</v>
      </c>
      <c r="BQ77" s="42">
        <f t="shared" si="65"/>
        <v>0</v>
      </c>
      <c r="BR77" s="42">
        <f t="shared" si="65"/>
        <v>0</v>
      </c>
      <c r="BS77" s="42">
        <f t="shared" si="65"/>
        <v>0</v>
      </c>
      <c r="BT77" s="42">
        <f t="shared" si="65"/>
        <v>0</v>
      </c>
      <c r="BU77" s="42">
        <f t="shared" si="65"/>
        <v>0</v>
      </c>
      <c r="BV77" s="42">
        <f t="shared" si="65"/>
        <v>0</v>
      </c>
      <c r="BW77" s="42">
        <f t="shared" si="65"/>
        <v>0</v>
      </c>
      <c r="BX77" s="42">
        <f t="shared" si="65"/>
        <v>22412685</v>
      </c>
      <c r="BY77" s="42">
        <f t="shared" si="55"/>
        <v>0</v>
      </c>
      <c r="BZ77" s="42">
        <f t="shared" si="48"/>
        <v>0</v>
      </c>
      <c r="CA77" s="42"/>
      <c r="CB77" s="42">
        <f t="shared" si="49"/>
        <v>9260000</v>
      </c>
      <c r="CC77" s="43">
        <f t="shared" si="60"/>
        <v>0.73736756822963012</v>
      </c>
      <c r="CD77" s="42">
        <f t="shared" si="50"/>
        <v>174743282</v>
      </c>
      <c r="CE77" s="42"/>
      <c r="CF77" s="42"/>
      <c r="CG77" s="42"/>
      <c r="CH77" s="42"/>
      <c r="CI77" s="42"/>
      <c r="CJ77" s="42"/>
      <c r="CK77" s="42"/>
      <c r="CL77" s="42">
        <f>+'[3]NOVIEMBRE 2019'!$H$3525+'[3]NOVIEMBRE 2019'!$H$3526+'[3]NOVIEMBRE 2019'!$H$3529+'[3]NOVIEMBRE 2019'!$H$3531+'[3]NOVIEMBRE 2019'!$H$3532+'[3]NOVIEMBRE 2019'!$H$3533+'[3]NOVIEMBRE 2019'!$H$3534+'[3]NOVIEMBRE 2019'!$H$3535+'[3]NOVIEMBRE 2019'!$H$3537+'[3]NOVIEMBRE 2019'!$H$3555+'[3]NOVIEMBRE 2019'!$H$3560+'[3]NOVIEMBRE 2019'!$H$3561+'[3]NOVIEMBRE 2019'!$H$3563+'[3]NOVIEMBRE 2019'!$H$3567+'[3]NOVIEMBRE 2019'!$H$3578+'[3]NOVIEMBRE 2019'!$H$3579+'[3]NOVIEMBRE 2019'!$H$3583</f>
        <v>88101028</v>
      </c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>
        <f>+'[3]NOVIEMBRE 2019'!$AB$3585+'[3]NOVIEMBRE 2019'!$H$3574+'[3]NOVIEMBRE 2019'!$H$3570+'[3]NOVIEMBRE 2019'!$H$3565+'[3]NOVIEMBRE 2019'!$H$3522+'[3]NOVIEMBRE 2019'!$H$3518+'[3]NOVIEMBRE 2019'!$H$3516+'[3]NOVIEMBRE 2019'!$H$3513</f>
        <v>36986726</v>
      </c>
      <c r="CX77" s="42"/>
      <c r="CY77" s="42"/>
      <c r="CZ77" s="42"/>
      <c r="DA77" s="42">
        <f>+'[3]NOVIEMBRE 2019'!$H$3506+'[3]NOVIEMBRE 2019'!$H$3511+'[3]NOVIEMBRE 2019'!$H$3527+'[3]NOVIEMBRE 2019'!$H$3542+'[3]NOVIEMBRE 2019'!$H$3546+'[3]NOVIEMBRE 2019'!$H$3550+'[3]NOVIEMBRE 2019'!$H$3552+'[3]NOVIEMBRE 2019'!$H$3575+'[3]NOVIEMBRE 2019'!$H$3581</f>
        <v>49655528</v>
      </c>
      <c r="DB77" s="43">
        <f t="shared" si="61"/>
        <v>0.26263243177036988</v>
      </c>
      <c r="DC77" s="42">
        <f t="shared" si="51"/>
        <v>62239316</v>
      </c>
      <c r="DD77" s="42">
        <f t="shared" si="66"/>
        <v>0</v>
      </c>
      <c r="DE77" s="42">
        <f t="shared" si="66"/>
        <v>0</v>
      </c>
      <c r="DF77" s="42">
        <f t="shared" si="66"/>
        <v>0</v>
      </c>
      <c r="DG77" s="42">
        <f t="shared" si="66"/>
        <v>0</v>
      </c>
      <c r="DH77" s="42">
        <f t="shared" si="66"/>
        <v>0</v>
      </c>
      <c r="DI77" s="42">
        <f t="shared" si="66"/>
        <v>0</v>
      </c>
      <c r="DJ77" s="42">
        <f t="shared" si="66"/>
        <v>0</v>
      </c>
      <c r="DK77" s="42">
        <f t="shared" si="66"/>
        <v>11898972</v>
      </c>
      <c r="DL77" s="42">
        <f t="shared" si="66"/>
        <v>0</v>
      </c>
      <c r="DM77" s="42">
        <f t="shared" si="66"/>
        <v>0</v>
      </c>
      <c r="DN77" s="42">
        <f t="shared" si="66"/>
        <v>0</v>
      </c>
      <c r="DO77" s="42">
        <f t="shared" si="66"/>
        <v>0</v>
      </c>
      <c r="DP77" s="42">
        <f t="shared" si="66"/>
        <v>0</v>
      </c>
      <c r="DQ77" s="42">
        <f t="shared" si="66"/>
        <v>0</v>
      </c>
      <c r="DR77" s="42">
        <f t="shared" si="66"/>
        <v>0</v>
      </c>
      <c r="DS77" s="42">
        <f t="shared" si="56"/>
        <v>0</v>
      </c>
      <c r="DT77" s="42">
        <f t="shared" si="53"/>
        <v>0</v>
      </c>
      <c r="DU77" s="42">
        <f t="shared" si="53"/>
        <v>0</v>
      </c>
      <c r="DV77" s="42">
        <f t="shared" si="53"/>
        <v>23013274</v>
      </c>
      <c r="DW77" s="42">
        <f t="shared" si="53"/>
        <v>0</v>
      </c>
      <c r="DX77" s="42">
        <f t="shared" si="53"/>
        <v>0</v>
      </c>
      <c r="DY77" s="42"/>
      <c r="DZ77" s="42">
        <f t="shared" si="54"/>
        <v>27327070</v>
      </c>
      <c r="EA77" s="73"/>
      <c r="EB77" s="47">
        <f t="shared" si="62"/>
        <v>236982598</v>
      </c>
      <c r="EC77" s="47">
        <f t="shared" si="63"/>
        <v>236982598</v>
      </c>
      <c r="ED77" s="47">
        <f t="shared" si="64"/>
        <v>236982598</v>
      </c>
    </row>
    <row r="78" spans="1:134" ht="28.8" customHeight="1" x14ac:dyDescent="0.3">
      <c r="A78" s="82"/>
      <c r="B78" s="53"/>
      <c r="C78" s="38" t="s">
        <v>230</v>
      </c>
      <c r="D78" s="50" t="s">
        <v>231</v>
      </c>
      <c r="E78" s="40">
        <v>410</v>
      </c>
      <c r="F78" s="41" t="s">
        <v>232</v>
      </c>
      <c r="G78" s="42">
        <f t="shared" si="42"/>
        <v>5000000</v>
      </c>
      <c r="H78" s="42"/>
      <c r="I78" s="42"/>
      <c r="J78" s="42"/>
      <c r="K78" s="42"/>
      <c r="L78" s="42"/>
      <c r="M78" s="42"/>
      <c r="N78" s="58"/>
      <c r="O78" s="42">
        <f>50000000-50000000</f>
        <v>0</v>
      </c>
      <c r="P78" s="58"/>
      <c r="Q78" s="58"/>
      <c r="R78" s="42"/>
      <c r="S78" s="42"/>
      <c r="T78" s="42"/>
      <c r="U78" s="42"/>
      <c r="V78" s="42"/>
      <c r="W78" s="42"/>
      <c r="X78" s="42"/>
      <c r="Y78" s="42"/>
      <c r="Z78" s="42">
        <f>30000000-30000000</f>
        <v>0</v>
      </c>
      <c r="AA78" s="42"/>
      <c r="AB78" s="42"/>
      <c r="AC78" s="42"/>
      <c r="AD78" s="42">
        <f>5000000</f>
        <v>5000000</v>
      </c>
      <c r="AE78" s="43">
        <f t="shared" si="32"/>
        <v>0.1140084</v>
      </c>
      <c r="AF78" s="42">
        <f t="shared" si="43"/>
        <v>570042</v>
      </c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>
        <f>+'[11]ABRIL 2019'!$AF$1191</f>
        <v>570042</v>
      </c>
      <c r="BD78" s="43">
        <f t="shared" si="59"/>
        <v>0.88599159999999999</v>
      </c>
      <c r="BE78" s="42">
        <f t="shared" si="44"/>
        <v>4429958</v>
      </c>
      <c r="BF78" s="42">
        <f t="shared" si="45"/>
        <v>0</v>
      </c>
      <c r="BG78" s="42">
        <f t="shared" si="45"/>
        <v>0</v>
      </c>
      <c r="BH78" s="42">
        <f t="shared" si="45"/>
        <v>0</v>
      </c>
      <c r="BI78" s="42">
        <f t="shared" si="46"/>
        <v>0</v>
      </c>
      <c r="BJ78" s="42">
        <f t="shared" si="65"/>
        <v>0</v>
      </c>
      <c r="BK78" s="42">
        <f t="shared" si="65"/>
        <v>0</v>
      </c>
      <c r="BL78" s="42">
        <f t="shared" si="65"/>
        <v>0</v>
      </c>
      <c r="BM78" s="42">
        <f t="shared" si="65"/>
        <v>0</v>
      </c>
      <c r="BN78" s="42">
        <f t="shared" si="65"/>
        <v>0</v>
      </c>
      <c r="BO78" s="42">
        <f t="shared" si="65"/>
        <v>0</v>
      </c>
      <c r="BP78" s="42">
        <f t="shared" si="65"/>
        <v>0</v>
      </c>
      <c r="BQ78" s="42">
        <f t="shared" si="65"/>
        <v>0</v>
      </c>
      <c r="BR78" s="42">
        <f t="shared" si="65"/>
        <v>0</v>
      </c>
      <c r="BS78" s="42">
        <f t="shared" si="65"/>
        <v>0</v>
      </c>
      <c r="BT78" s="42">
        <f t="shared" si="65"/>
        <v>0</v>
      </c>
      <c r="BU78" s="42">
        <f t="shared" si="65"/>
        <v>0</v>
      </c>
      <c r="BV78" s="42">
        <f t="shared" si="65"/>
        <v>0</v>
      </c>
      <c r="BW78" s="42">
        <f t="shared" si="65"/>
        <v>0</v>
      </c>
      <c r="BX78" s="42">
        <f t="shared" si="65"/>
        <v>0</v>
      </c>
      <c r="BY78" s="42">
        <f t="shared" si="55"/>
        <v>0</v>
      </c>
      <c r="BZ78" s="42">
        <f t="shared" si="48"/>
        <v>0</v>
      </c>
      <c r="CA78" s="42"/>
      <c r="CB78" s="42">
        <f t="shared" si="49"/>
        <v>4429958</v>
      </c>
      <c r="CC78" s="43">
        <f t="shared" si="60"/>
        <v>0.1140084</v>
      </c>
      <c r="CD78" s="42">
        <f t="shared" si="50"/>
        <v>570042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>
        <f>+'[11]ABRIL 2019'!$AF$1191</f>
        <v>570042</v>
      </c>
      <c r="DB78" s="43">
        <f t="shared" si="61"/>
        <v>0.88599159999999999</v>
      </c>
      <c r="DC78" s="42">
        <f t="shared" si="51"/>
        <v>4429958</v>
      </c>
      <c r="DD78" s="42">
        <f t="shared" si="66"/>
        <v>0</v>
      </c>
      <c r="DE78" s="42">
        <f t="shared" si="66"/>
        <v>0</v>
      </c>
      <c r="DF78" s="42">
        <f t="shared" si="66"/>
        <v>0</v>
      </c>
      <c r="DG78" s="42">
        <f t="shared" si="66"/>
        <v>0</v>
      </c>
      <c r="DH78" s="42">
        <f t="shared" si="66"/>
        <v>0</v>
      </c>
      <c r="DI78" s="42">
        <f t="shared" si="66"/>
        <v>0</v>
      </c>
      <c r="DJ78" s="42">
        <f t="shared" si="66"/>
        <v>0</v>
      </c>
      <c r="DK78" s="42">
        <f t="shared" si="66"/>
        <v>0</v>
      </c>
      <c r="DL78" s="42">
        <f t="shared" si="66"/>
        <v>0</v>
      </c>
      <c r="DM78" s="42">
        <f t="shared" si="66"/>
        <v>0</v>
      </c>
      <c r="DN78" s="42">
        <f t="shared" si="66"/>
        <v>0</v>
      </c>
      <c r="DO78" s="42">
        <f t="shared" si="66"/>
        <v>0</v>
      </c>
      <c r="DP78" s="42">
        <f t="shared" si="66"/>
        <v>0</v>
      </c>
      <c r="DQ78" s="42">
        <f t="shared" si="66"/>
        <v>0</v>
      </c>
      <c r="DR78" s="42">
        <f t="shared" si="66"/>
        <v>0</v>
      </c>
      <c r="DS78" s="42">
        <f t="shared" si="56"/>
        <v>0</v>
      </c>
      <c r="DT78" s="42">
        <f t="shared" si="53"/>
        <v>0</v>
      </c>
      <c r="DU78" s="42">
        <f t="shared" si="53"/>
        <v>0</v>
      </c>
      <c r="DV78" s="42">
        <f t="shared" si="53"/>
        <v>0</v>
      </c>
      <c r="DW78" s="42">
        <f t="shared" si="53"/>
        <v>0</v>
      </c>
      <c r="DX78" s="42">
        <f t="shared" si="53"/>
        <v>0</v>
      </c>
      <c r="DY78" s="42"/>
      <c r="DZ78" s="42">
        <f t="shared" si="54"/>
        <v>4429958</v>
      </c>
      <c r="EA78" s="73"/>
      <c r="EB78" s="47">
        <f t="shared" si="62"/>
        <v>5000000</v>
      </c>
      <c r="EC78" s="47">
        <f t="shared" si="63"/>
        <v>5000000</v>
      </c>
      <c r="ED78" s="47">
        <f t="shared" si="64"/>
        <v>5000000</v>
      </c>
    </row>
    <row r="79" spans="1:134" ht="57.6" customHeight="1" x14ac:dyDescent="0.3">
      <c r="A79" s="82"/>
      <c r="B79" s="53"/>
      <c r="C79" s="38" t="s">
        <v>233</v>
      </c>
      <c r="D79" s="50" t="s">
        <v>234</v>
      </c>
      <c r="E79" s="40">
        <v>410</v>
      </c>
      <c r="F79" s="41" t="s">
        <v>232</v>
      </c>
      <c r="G79" s="42">
        <f t="shared" si="42"/>
        <v>300423391</v>
      </c>
      <c r="H79" s="42"/>
      <c r="I79" s="42"/>
      <c r="J79" s="42"/>
      <c r="K79" s="42"/>
      <c r="L79" s="42"/>
      <c r="M79" s="42"/>
      <c r="N79" s="58"/>
      <c r="O79" s="42">
        <v>50000000</v>
      </c>
      <c r="P79" s="58"/>
      <c r="Q79" s="58"/>
      <c r="R79" s="42"/>
      <c r="S79" s="42"/>
      <c r="T79" s="42"/>
      <c r="U79" s="42"/>
      <c r="V79" s="42"/>
      <c r="W79" s="42"/>
      <c r="X79" s="42"/>
      <c r="Y79" s="42"/>
      <c r="Z79" s="42">
        <f>70423391+80000000+100000000</f>
        <v>250423391</v>
      </c>
      <c r="AA79" s="42"/>
      <c r="AB79" s="42"/>
      <c r="AC79" s="42"/>
      <c r="AD79" s="42">
        <f>8000000-8000000</f>
        <v>0</v>
      </c>
      <c r="AE79" s="43">
        <f t="shared" si="32"/>
        <v>0.60218080022936693</v>
      </c>
      <c r="AF79" s="42">
        <f t="shared" si="43"/>
        <v>180909198</v>
      </c>
      <c r="AG79" s="42"/>
      <c r="AH79" s="42"/>
      <c r="AI79" s="42"/>
      <c r="AJ79" s="42"/>
      <c r="AK79" s="42"/>
      <c r="AL79" s="42"/>
      <c r="AM79" s="42"/>
      <c r="AN79" s="42">
        <f>+'[3]NOVIEMBRE 2019'!$Q$3599</f>
        <v>48942867</v>
      </c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>
        <f>+'[3]NOVIEMBRE 2019'!$AB$3599</f>
        <v>131966331</v>
      </c>
      <c r="AZ79" s="42"/>
      <c r="BA79" s="42"/>
      <c r="BB79" s="42"/>
      <c r="BC79" s="42"/>
      <c r="BD79" s="43">
        <f t="shared" si="59"/>
        <v>0.39781919977063307</v>
      </c>
      <c r="BE79" s="42">
        <f t="shared" si="44"/>
        <v>119514193</v>
      </c>
      <c r="BF79" s="42">
        <f t="shared" si="45"/>
        <v>0</v>
      </c>
      <c r="BG79" s="42">
        <f t="shared" si="45"/>
        <v>0</v>
      </c>
      <c r="BH79" s="42">
        <f t="shared" si="45"/>
        <v>0</v>
      </c>
      <c r="BI79" s="42">
        <f t="shared" si="46"/>
        <v>0</v>
      </c>
      <c r="BJ79" s="42">
        <f t="shared" si="65"/>
        <v>0</v>
      </c>
      <c r="BK79" s="42">
        <f t="shared" si="65"/>
        <v>0</v>
      </c>
      <c r="BL79" s="42">
        <f t="shared" si="65"/>
        <v>0</v>
      </c>
      <c r="BM79" s="42">
        <f t="shared" si="65"/>
        <v>1057133</v>
      </c>
      <c r="BN79" s="42">
        <f t="shared" si="65"/>
        <v>0</v>
      </c>
      <c r="BO79" s="42">
        <f t="shared" si="65"/>
        <v>0</v>
      </c>
      <c r="BP79" s="42">
        <f t="shared" si="65"/>
        <v>0</v>
      </c>
      <c r="BQ79" s="42">
        <f t="shared" si="65"/>
        <v>0</v>
      </c>
      <c r="BR79" s="42">
        <f t="shared" si="65"/>
        <v>0</v>
      </c>
      <c r="BS79" s="42">
        <f t="shared" si="65"/>
        <v>0</v>
      </c>
      <c r="BT79" s="42">
        <f t="shared" si="65"/>
        <v>0</v>
      </c>
      <c r="BU79" s="42">
        <f t="shared" si="65"/>
        <v>0</v>
      </c>
      <c r="BV79" s="42">
        <f t="shared" si="65"/>
        <v>0</v>
      </c>
      <c r="BW79" s="42">
        <f t="shared" si="65"/>
        <v>0</v>
      </c>
      <c r="BX79" s="42">
        <f t="shared" si="65"/>
        <v>118457060</v>
      </c>
      <c r="BY79" s="42">
        <f t="shared" si="55"/>
        <v>0</v>
      </c>
      <c r="BZ79" s="42">
        <f t="shared" si="48"/>
        <v>0</v>
      </c>
      <c r="CA79" s="42"/>
      <c r="CB79" s="42">
        <f t="shared" si="49"/>
        <v>0</v>
      </c>
      <c r="CC79" s="43">
        <f t="shared" si="60"/>
        <v>0.44983959654459793</v>
      </c>
      <c r="CD79" s="42">
        <f t="shared" si="50"/>
        <v>135142337</v>
      </c>
      <c r="CE79" s="42"/>
      <c r="CF79" s="42"/>
      <c r="CG79" s="42"/>
      <c r="CH79" s="42"/>
      <c r="CI79" s="42"/>
      <c r="CJ79" s="42"/>
      <c r="CK79" s="42"/>
      <c r="CL79" s="42">
        <f>+'[1]OCTUBRE 2019'!$I$3195+'[1]OCTUBRE 2019'!$H$3196+'[1]OCTUBRE 2019'!$H$3202+'[1]OCTUBRE 2019'!$H$3237</f>
        <v>45823827</v>
      </c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>
        <f>+'[1]OCTUBRE 2019'!$H$3178-CL79</f>
        <v>89318510</v>
      </c>
      <c r="CX79" s="42"/>
      <c r="CY79" s="42"/>
      <c r="CZ79" s="42"/>
      <c r="DA79" s="42"/>
      <c r="DB79" s="43">
        <f t="shared" si="61"/>
        <v>0.55016040345540207</v>
      </c>
      <c r="DC79" s="42">
        <f t="shared" si="51"/>
        <v>165281054</v>
      </c>
      <c r="DD79" s="42">
        <f t="shared" si="66"/>
        <v>0</v>
      </c>
      <c r="DE79" s="42">
        <f t="shared" si="66"/>
        <v>0</v>
      </c>
      <c r="DF79" s="42">
        <f t="shared" si="66"/>
        <v>0</v>
      </c>
      <c r="DG79" s="42">
        <f t="shared" si="66"/>
        <v>0</v>
      </c>
      <c r="DH79" s="42">
        <f t="shared" si="66"/>
        <v>0</v>
      </c>
      <c r="DI79" s="42">
        <f t="shared" si="66"/>
        <v>0</v>
      </c>
      <c r="DJ79" s="42">
        <f t="shared" si="66"/>
        <v>0</v>
      </c>
      <c r="DK79" s="42">
        <f t="shared" si="66"/>
        <v>4176173</v>
      </c>
      <c r="DL79" s="42">
        <f t="shared" si="66"/>
        <v>0</v>
      </c>
      <c r="DM79" s="42">
        <f t="shared" si="66"/>
        <v>0</v>
      </c>
      <c r="DN79" s="42">
        <f t="shared" si="66"/>
        <v>0</v>
      </c>
      <c r="DO79" s="42">
        <f t="shared" si="66"/>
        <v>0</v>
      </c>
      <c r="DP79" s="42">
        <f t="shared" si="66"/>
        <v>0</v>
      </c>
      <c r="DQ79" s="42">
        <f t="shared" si="66"/>
        <v>0</v>
      </c>
      <c r="DR79" s="42">
        <f t="shared" si="66"/>
        <v>0</v>
      </c>
      <c r="DS79" s="42">
        <f t="shared" si="56"/>
        <v>0</v>
      </c>
      <c r="DT79" s="42">
        <f t="shared" si="53"/>
        <v>0</v>
      </c>
      <c r="DU79" s="42">
        <f t="shared" si="53"/>
        <v>0</v>
      </c>
      <c r="DV79" s="42">
        <f t="shared" si="53"/>
        <v>161104881</v>
      </c>
      <c r="DW79" s="42">
        <f t="shared" si="53"/>
        <v>0</v>
      </c>
      <c r="DX79" s="42">
        <f t="shared" si="53"/>
        <v>0</v>
      </c>
      <c r="DY79" s="42"/>
      <c r="DZ79" s="42">
        <f t="shared" si="54"/>
        <v>0</v>
      </c>
      <c r="EA79" s="73"/>
      <c r="EB79" s="47">
        <f t="shared" si="62"/>
        <v>300423391</v>
      </c>
      <c r="EC79" s="47">
        <f t="shared" si="63"/>
        <v>300423391</v>
      </c>
      <c r="ED79" s="47">
        <f t="shared" si="64"/>
        <v>300423391</v>
      </c>
    </row>
    <row r="80" spans="1:134" s="73" customFormat="1" ht="17.25" customHeight="1" thickBot="1" x14ac:dyDescent="0.35">
      <c r="A80" s="89"/>
      <c r="B80" s="90" t="s">
        <v>235</v>
      </c>
      <c r="C80" s="90"/>
      <c r="D80" s="90"/>
      <c r="E80" s="90"/>
      <c r="F80" s="91"/>
      <c r="G80" s="92">
        <f t="shared" ref="G80:AD80" si="67">SUM(G40:G79)</f>
        <v>9091266497</v>
      </c>
      <c r="H80" s="92">
        <f t="shared" si="67"/>
        <v>0</v>
      </c>
      <c r="I80" s="92">
        <f t="shared" si="67"/>
        <v>0</v>
      </c>
      <c r="J80" s="92">
        <f t="shared" si="67"/>
        <v>0</v>
      </c>
      <c r="K80" s="92">
        <f t="shared" si="67"/>
        <v>0</v>
      </c>
      <c r="L80" s="92">
        <f t="shared" si="67"/>
        <v>0</v>
      </c>
      <c r="M80" s="92">
        <f t="shared" si="67"/>
        <v>0</v>
      </c>
      <c r="N80" s="92">
        <f t="shared" si="67"/>
        <v>0</v>
      </c>
      <c r="O80" s="92">
        <f t="shared" si="67"/>
        <v>2419061682</v>
      </c>
      <c r="P80" s="92">
        <f t="shared" si="67"/>
        <v>45960534</v>
      </c>
      <c r="Q80" s="92">
        <f t="shared" si="67"/>
        <v>45960534</v>
      </c>
      <c r="R80" s="92">
        <f t="shared" si="67"/>
        <v>85960534</v>
      </c>
      <c r="S80" s="92">
        <f t="shared" si="67"/>
        <v>797458202</v>
      </c>
      <c r="T80" s="92">
        <f t="shared" si="67"/>
        <v>30000000</v>
      </c>
      <c r="U80" s="92">
        <f t="shared" si="67"/>
        <v>60000000</v>
      </c>
      <c r="V80" s="92">
        <f t="shared" si="67"/>
        <v>20000000</v>
      </c>
      <c r="W80" s="92">
        <f t="shared" si="67"/>
        <v>3457651561</v>
      </c>
      <c r="X80" s="92">
        <f t="shared" si="67"/>
        <v>90000000</v>
      </c>
      <c r="Y80" s="92">
        <f t="shared" si="67"/>
        <v>52565530</v>
      </c>
      <c r="Z80" s="92">
        <f t="shared" si="67"/>
        <v>1116053744</v>
      </c>
      <c r="AA80" s="92">
        <f t="shared" si="67"/>
        <v>0</v>
      </c>
      <c r="AB80" s="92">
        <f t="shared" si="67"/>
        <v>453752865</v>
      </c>
      <c r="AC80" s="92">
        <f t="shared" si="67"/>
        <v>0</v>
      </c>
      <c r="AD80" s="92">
        <f t="shared" si="67"/>
        <v>416841311</v>
      </c>
      <c r="AE80" s="71">
        <f t="shared" si="32"/>
        <v>0.68088187064394667</v>
      </c>
      <c r="AF80" s="92">
        <f>SUM(AF40:AF79)</f>
        <v>6190078539</v>
      </c>
      <c r="AG80" s="92">
        <f>SUM(AG40:AG79)</f>
        <v>0</v>
      </c>
      <c r="AH80" s="92">
        <f>SUM(AH40:AH79)</f>
        <v>0</v>
      </c>
      <c r="AI80" s="92">
        <f>SUM(AI40:AI79)</f>
        <v>0</v>
      </c>
      <c r="AJ80" s="92"/>
      <c r="AK80" s="92">
        <f t="shared" ref="AK80:BC80" si="68">SUM(AK40:AK79)</f>
        <v>0</v>
      </c>
      <c r="AL80" s="92">
        <f t="shared" si="68"/>
        <v>0</v>
      </c>
      <c r="AM80" s="92">
        <f t="shared" si="68"/>
        <v>0</v>
      </c>
      <c r="AN80" s="92">
        <f t="shared" si="68"/>
        <v>2092840355</v>
      </c>
      <c r="AO80" s="92">
        <f t="shared" si="68"/>
        <v>3200000</v>
      </c>
      <c r="AP80" s="92">
        <f t="shared" si="68"/>
        <v>22983702</v>
      </c>
      <c r="AQ80" s="92">
        <f t="shared" si="68"/>
        <v>7005939</v>
      </c>
      <c r="AR80" s="92">
        <f t="shared" si="68"/>
        <v>751646051</v>
      </c>
      <c r="AS80" s="92">
        <f t="shared" si="68"/>
        <v>2114681</v>
      </c>
      <c r="AT80" s="92">
        <f t="shared" si="68"/>
        <v>10477239</v>
      </c>
      <c r="AU80" s="92">
        <f t="shared" si="68"/>
        <v>2768519</v>
      </c>
      <c r="AV80" s="92">
        <f t="shared" si="68"/>
        <v>1778728458</v>
      </c>
      <c r="AW80" s="92">
        <f t="shared" si="68"/>
        <v>90000000</v>
      </c>
      <c r="AX80" s="92">
        <f t="shared" si="68"/>
        <v>46996115</v>
      </c>
      <c r="AY80" s="92">
        <f t="shared" si="68"/>
        <v>819963485</v>
      </c>
      <c r="AZ80" s="92">
        <f t="shared" si="68"/>
        <v>0</v>
      </c>
      <c r="BA80" s="92">
        <f t="shared" si="68"/>
        <v>285623667</v>
      </c>
      <c r="BB80" s="92">
        <f t="shared" si="68"/>
        <v>0</v>
      </c>
      <c r="BC80" s="92">
        <f t="shared" si="68"/>
        <v>275730328</v>
      </c>
      <c r="BD80" s="71">
        <f t="shared" si="59"/>
        <v>0.31911812935605333</v>
      </c>
      <c r="BE80" s="92">
        <f t="shared" ref="BE80:CB80" si="69">SUM(BE40:BE79)</f>
        <v>2901187958</v>
      </c>
      <c r="BF80" s="92">
        <f t="shared" si="69"/>
        <v>0</v>
      </c>
      <c r="BG80" s="92">
        <f t="shared" si="69"/>
        <v>0</v>
      </c>
      <c r="BH80" s="92">
        <f t="shared" si="69"/>
        <v>0</v>
      </c>
      <c r="BI80" s="92">
        <f t="shared" si="69"/>
        <v>0</v>
      </c>
      <c r="BJ80" s="92">
        <f t="shared" si="69"/>
        <v>0</v>
      </c>
      <c r="BK80" s="92">
        <f t="shared" si="69"/>
        <v>0</v>
      </c>
      <c r="BL80" s="92">
        <f t="shared" si="69"/>
        <v>0</v>
      </c>
      <c r="BM80" s="92">
        <f t="shared" si="69"/>
        <v>326221327</v>
      </c>
      <c r="BN80" s="92">
        <f t="shared" si="69"/>
        <v>42760534</v>
      </c>
      <c r="BO80" s="92">
        <f t="shared" si="69"/>
        <v>22976832</v>
      </c>
      <c r="BP80" s="92">
        <f t="shared" si="69"/>
        <v>78954595</v>
      </c>
      <c r="BQ80" s="92">
        <f t="shared" si="69"/>
        <v>45812151</v>
      </c>
      <c r="BR80" s="92">
        <f t="shared" si="69"/>
        <v>27885319</v>
      </c>
      <c r="BS80" s="92">
        <f t="shared" si="69"/>
        <v>49522761</v>
      </c>
      <c r="BT80" s="92">
        <f t="shared" si="69"/>
        <v>17231481</v>
      </c>
      <c r="BU80" s="92">
        <f t="shared" si="69"/>
        <v>1678923103</v>
      </c>
      <c r="BV80" s="92">
        <f t="shared" si="69"/>
        <v>0</v>
      </c>
      <c r="BW80" s="92">
        <f t="shared" si="69"/>
        <v>5569415</v>
      </c>
      <c r="BX80" s="92">
        <f t="shared" si="69"/>
        <v>296090259</v>
      </c>
      <c r="BY80" s="92">
        <f t="shared" si="69"/>
        <v>0</v>
      </c>
      <c r="BZ80" s="92">
        <f t="shared" si="69"/>
        <v>168129198</v>
      </c>
      <c r="CA80" s="92">
        <f t="shared" si="69"/>
        <v>0</v>
      </c>
      <c r="CB80" s="92">
        <f t="shared" si="69"/>
        <v>141110983</v>
      </c>
      <c r="CC80" s="71">
        <f t="shared" si="60"/>
        <v>0.48614241409141701</v>
      </c>
      <c r="CD80" s="92">
        <f>SUM(CD40:CD79)</f>
        <v>4419650242</v>
      </c>
      <c r="CE80" s="92">
        <f>SUM(CE40:CE79)</f>
        <v>0</v>
      </c>
      <c r="CF80" s="92">
        <f>SUM(CF40:CF79)</f>
        <v>0</v>
      </c>
      <c r="CG80" s="92">
        <f>SUM(CG40:CG79)</f>
        <v>0</v>
      </c>
      <c r="CH80" s="92"/>
      <c r="CI80" s="92">
        <f t="shared" ref="CI80:DA80" si="70">SUM(CI40:CI79)</f>
        <v>0</v>
      </c>
      <c r="CJ80" s="92">
        <f t="shared" si="70"/>
        <v>0</v>
      </c>
      <c r="CK80" s="92">
        <f t="shared" si="70"/>
        <v>0</v>
      </c>
      <c r="CL80" s="92">
        <f t="shared" si="70"/>
        <v>1586639467</v>
      </c>
      <c r="CM80" s="92">
        <f t="shared" si="70"/>
        <v>3200000</v>
      </c>
      <c r="CN80" s="92">
        <f t="shared" si="70"/>
        <v>22983702</v>
      </c>
      <c r="CO80" s="92">
        <f t="shared" si="70"/>
        <v>4865259</v>
      </c>
      <c r="CP80" s="92">
        <f t="shared" si="70"/>
        <v>580180670</v>
      </c>
      <c r="CQ80" s="92">
        <f t="shared" si="70"/>
        <v>2114681</v>
      </c>
      <c r="CR80" s="92">
        <f t="shared" si="70"/>
        <v>10252686</v>
      </c>
      <c r="CS80" s="92">
        <f t="shared" si="70"/>
        <v>2768519</v>
      </c>
      <c r="CT80" s="92">
        <f t="shared" si="70"/>
        <v>1078397268</v>
      </c>
      <c r="CU80" s="92">
        <f t="shared" si="70"/>
        <v>80031559</v>
      </c>
      <c r="CV80" s="92">
        <f t="shared" si="70"/>
        <v>15663110</v>
      </c>
      <c r="CW80" s="92">
        <f t="shared" si="70"/>
        <v>608628848</v>
      </c>
      <c r="CX80" s="92">
        <f t="shared" si="70"/>
        <v>0</v>
      </c>
      <c r="CY80" s="92">
        <f t="shared" si="70"/>
        <v>225553524</v>
      </c>
      <c r="CZ80" s="92">
        <f t="shared" si="70"/>
        <v>0</v>
      </c>
      <c r="DA80" s="92">
        <f t="shared" si="70"/>
        <v>198370949</v>
      </c>
      <c r="DB80" s="93">
        <f t="shared" si="61"/>
        <v>0.51385758590858299</v>
      </c>
      <c r="DC80" s="92">
        <f>SUM(DC40:DC79)</f>
        <v>4671616255</v>
      </c>
      <c r="DD80" s="92">
        <f>SUM(DD40:DD79)</f>
        <v>0</v>
      </c>
      <c r="DE80" s="92">
        <f>SUM(DE40:DE79)</f>
        <v>0</v>
      </c>
      <c r="DF80" s="92">
        <f>SUM(DF40:DF79)</f>
        <v>0</v>
      </c>
      <c r="DG80" s="92"/>
      <c r="DH80" s="92">
        <f t="shared" ref="DH80:DZ80" si="71">SUM(DH40:DH79)</f>
        <v>0</v>
      </c>
      <c r="DI80" s="92">
        <f t="shared" si="71"/>
        <v>0</v>
      </c>
      <c r="DJ80" s="92">
        <f t="shared" si="71"/>
        <v>0</v>
      </c>
      <c r="DK80" s="92">
        <f t="shared" si="71"/>
        <v>832422215</v>
      </c>
      <c r="DL80" s="92">
        <f t="shared" si="71"/>
        <v>42760534</v>
      </c>
      <c r="DM80" s="92">
        <f t="shared" si="71"/>
        <v>22976832</v>
      </c>
      <c r="DN80" s="92">
        <f t="shared" si="71"/>
        <v>81095275</v>
      </c>
      <c r="DO80" s="92">
        <f t="shared" si="71"/>
        <v>217277532</v>
      </c>
      <c r="DP80" s="92">
        <f t="shared" si="71"/>
        <v>27885319</v>
      </c>
      <c r="DQ80" s="92">
        <f t="shared" si="71"/>
        <v>49747314</v>
      </c>
      <c r="DR80" s="92">
        <f t="shared" si="71"/>
        <v>17231481</v>
      </c>
      <c r="DS80" s="92">
        <f t="shared" si="71"/>
        <v>2379254293</v>
      </c>
      <c r="DT80" s="92">
        <f t="shared" si="71"/>
        <v>9968441</v>
      </c>
      <c r="DU80" s="92">
        <f t="shared" si="71"/>
        <v>36902420</v>
      </c>
      <c r="DV80" s="92">
        <f t="shared" si="71"/>
        <v>507424896</v>
      </c>
      <c r="DW80" s="92">
        <f t="shared" si="71"/>
        <v>0</v>
      </c>
      <c r="DX80" s="92">
        <f t="shared" si="71"/>
        <v>228199341</v>
      </c>
      <c r="DY80" s="92">
        <f t="shared" si="71"/>
        <v>0</v>
      </c>
      <c r="DZ80" s="92">
        <f t="shared" si="71"/>
        <v>218470362</v>
      </c>
      <c r="EB80" s="47">
        <f t="shared" si="62"/>
        <v>9091266497</v>
      </c>
      <c r="EC80" s="47">
        <f t="shared" si="63"/>
        <v>9091266497</v>
      </c>
      <c r="ED80" s="47">
        <f t="shared" si="64"/>
        <v>9091266497</v>
      </c>
    </row>
    <row r="81" spans="1:136" ht="55.8" customHeight="1" thickTop="1" x14ac:dyDescent="0.3">
      <c r="A81" s="94" t="s">
        <v>236</v>
      </c>
      <c r="B81" s="95" t="s">
        <v>237</v>
      </c>
      <c r="C81" s="96" t="s">
        <v>238</v>
      </c>
      <c r="D81" s="97" t="s">
        <v>239</v>
      </c>
      <c r="E81" s="98">
        <v>520</v>
      </c>
      <c r="F81" s="99" t="s">
        <v>240</v>
      </c>
      <c r="G81" s="42">
        <f t="shared" ref="G81:G103" si="72">SUM(H81:AD81)</f>
        <v>305584229</v>
      </c>
      <c r="H81" s="42"/>
      <c r="I81" s="42">
        <v>150000000</v>
      </c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>
        <f>93493921+30000000+10000000+18000000+8180737-4090429</f>
        <v>155584229</v>
      </c>
      <c r="AE81" s="76">
        <f t="shared" si="32"/>
        <v>0.78296534079315983</v>
      </c>
      <c r="AF81" s="77">
        <f t="shared" ref="AF81:AF103" si="73">SUM(AG81:BC81)</f>
        <v>239261860</v>
      </c>
      <c r="AG81" s="77"/>
      <c r="AH81" s="77">
        <f>+'[3]NOVIEMBRE 2019'!$K$4588</f>
        <v>116064225</v>
      </c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>
        <f>+'[3]NOVIEMBRE 2019'!$AG$4588</f>
        <v>123197635</v>
      </c>
      <c r="BD81" s="76">
        <f t="shared" si="59"/>
        <v>0.21703465920684017</v>
      </c>
      <c r="BE81" s="42">
        <f t="shared" ref="BE81:BE103" si="74">SUM(BF81:CB81)</f>
        <v>66322369</v>
      </c>
      <c r="BF81" s="42">
        <f t="shared" ref="BF81:BH100" si="75">H81-AG81</f>
        <v>0</v>
      </c>
      <c r="BG81" s="42">
        <f t="shared" si="75"/>
        <v>33935775</v>
      </c>
      <c r="BH81" s="42">
        <f t="shared" si="75"/>
        <v>0</v>
      </c>
      <c r="BI81" s="42">
        <f t="shared" ref="BI81:BI103" si="76">+K81-AJ81</f>
        <v>0</v>
      </c>
      <c r="BJ81" s="42">
        <f t="shared" ref="BJ81:BY96" si="77">L81-AK81</f>
        <v>0</v>
      </c>
      <c r="BK81" s="42">
        <f t="shared" si="77"/>
        <v>0</v>
      </c>
      <c r="BL81" s="42">
        <f t="shared" si="77"/>
        <v>0</v>
      </c>
      <c r="BM81" s="42">
        <f t="shared" si="77"/>
        <v>0</v>
      </c>
      <c r="BN81" s="42">
        <f t="shared" si="77"/>
        <v>0</v>
      </c>
      <c r="BO81" s="42">
        <f t="shared" si="77"/>
        <v>0</v>
      </c>
      <c r="BP81" s="42">
        <f t="shared" si="77"/>
        <v>0</v>
      </c>
      <c r="BQ81" s="42">
        <f t="shared" si="77"/>
        <v>0</v>
      </c>
      <c r="BR81" s="42">
        <f t="shared" si="77"/>
        <v>0</v>
      </c>
      <c r="BS81" s="42">
        <f t="shared" si="77"/>
        <v>0</v>
      </c>
      <c r="BT81" s="42">
        <f t="shared" si="77"/>
        <v>0</v>
      </c>
      <c r="BU81" s="42">
        <f t="shared" si="77"/>
        <v>0</v>
      </c>
      <c r="BV81" s="42">
        <f t="shared" si="77"/>
        <v>0</v>
      </c>
      <c r="BW81" s="42">
        <f t="shared" si="77"/>
        <v>0</v>
      </c>
      <c r="BX81" s="42">
        <f t="shared" si="77"/>
        <v>0</v>
      </c>
      <c r="BY81" s="42">
        <f t="shared" si="77"/>
        <v>0</v>
      </c>
      <c r="BZ81" s="42">
        <f t="shared" ref="BZ81:BZ100" si="78">AB81-BA81</f>
        <v>0</v>
      </c>
      <c r="CA81" s="42"/>
      <c r="CB81" s="42">
        <f t="shared" ref="CB81:CB100" si="79">AD81-BC81</f>
        <v>32386594</v>
      </c>
      <c r="CC81" s="76">
        <f t="shared" si="60"/>
        <v>0.67837617366045422</v>
      </c>
      <c r="CD81" s="42">
        <f t="shared" ref="CD81:CD103" si="80">SUM(CE81:DA81)</f>
        <v>207301060</v>
      </c>
      <c r="CE81" s="42"/>
      <c r="CF81" s="42">
        <f>+'[3]NOVIEMBRE 2019'!$H$4599+'[3]NOVIEMBRE 2019'!$H$4603+'[3]NOVIEMBRE 2019'!$H$4615+'[3]NOVIEMBRE 2019'!$H$4619+'[3]NOVIEMBRE 2019'!$H$4622+'[3]NOVIEMBRE 2019'!$H$4623+'[3]NOVIEMBRE 2019'!$H$4624+'[3]NOVIEMBRE 2019'!$H$4625+'[3]NOVIEMBRE 2019'!$H$4628+'[3]NOVIEMBRE 2019'!$H$4631+'[3]NOVIEMBRE 2019'!$H$4635+'[3]NOVIEMBRE 2019'!$H$4640+'[3]NOVIEMBRE 2019'!$H$4641+'[3]NOVIEMBRE 2019'!$H$4643+'[3]NOVIEMBRE 2019'!$H$4644+'[3]NOVIEMBRE 2019'!$H$4645+'[3]NOVIEMBRE 2019'!$H$4646+'[3]NOVIEMBRE 2019'!$H$4647+'[3]NOVIEMBRE 2019'!$H$4649+'[3]NOVIEMBRE 2019'!$H$4650+'[3]NOVIEMBRE 2019'!$H$4651+'[3]NOVIEMBRE 2019'!$H$4652+'[3]NOVIEMBRE 2019'!$H$4653+'[3]NOVIEMBRE 2019'!$H$4654+'[3]NOVIEMBRE 2019'!$H$4656+'[3]NOVIEMBRE 2019'!$H$4670+'[3]NOVIEMBRE 2019'!$H$4671+'[3]NOVIEMBRE 2019'!$H$4673+'[3]NOVIEMBRE 2019'!$H$4674+'[3]NOVIEMBRE 2019'!$H$4675+'[3]NOVIEMBRE 2019'!$H$4676+'[3]NOVIEMBRE 2019'!$H$4677+'[3]NOVIEMBRE 2019'!$H$4678+'[3]NOVIEMBRE 2019'!$H$4680+'[3]NOVIEMBRE 2019'!$H$4681+'[3]NOVIEMBRE 2019'!$H$4682+'[3]NOVIEMBRE 2019'!$H$4684+'[3]NOVIEMBRE 2019'!$H$4685+'[3]NOVIEMBRE 2019'!$H$4686+'[3]NOVIEMBRE 2019'!$H$4688+'[3]NOVIEMBRE 2019'!$H$4690+'[3]NOVIEMBRE 2019'!$H$4691+'[3]NOVIEMBRE 2019'!$H$4692+'[3]NOVIEMBRE 2019'!$H$4693+'[3]NOVIEMBRE 2019'!$H$4694+'[3]NOVIEMBRE 2019'!$H$4703+'[3]NOVIEMBRE 2019'!$H$4722+'[3]NOVIEMBRE 2019'!$H$4723+'[3]NOVIEMBRE 2019'!$H$4724+'[3]NOVIEMBRE 2019'!$H$4727+'[3]NOVIEMBRE 2019'!$H$4729+'[3]NOVIEMBRE 2019'!$H$4732+'[3]NOVIEMBRE 2019'!$H$4738+'[3]NOVIEMBRE 2019'!$H$4739+'[3]NOVIEMBRE 2019'!$H$4741+'[3]NOVIEMBRE 2019'!$H$4742+'[3]NOVIEMBRE 2019'!$H$4745</f>
        <v>113464225</v>
      </c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>
        <f>+'[3]NOVIEMBRE 2019'!$H$4586-CF81</f>
        <v>93836835</v>
      </c>
      <c r="DB81" s="43">
        <f t="shared" si="61"/>
        <v>0.32162382633954578</v>
      </c>
      <c r="DC81" s="42">
        <f t="shared" ref="DC81:DC120" si="81">SUM(DD81:DZ81)</f>
        <v>98283169</v>
      </c>
      <c r="DD81" s="42">
        <f t="shared" ref="DD81:DE103" si="82">H81-CE81</f>
        <v>0</v>
      </c>
      <c r="DE81" s="42">
        <f t="shared" si="82"/>
        <v>36535775</v>
      </c>
      <c r="DF81" s="42"/>
      <c r="DG81" s="42">
        <f t="shared" ref="DG81:DV96" si="83">K81-CH81</f>
        <v>0</v>
      </c>
      <c r="DH81" s="42">
        <f t="shared" si="83"/>
        <v>0</v>
      </c>
      <c r="DI81" s="42">
        <f t="shared" si="83"/>
        <v>0</v>
      </c>
      <c r="DJ81" s="42">
        <f t="shared" si="83"/>
        <v>0</v>
      </c>
      <c r="DK81" s="42">
        <f t="shared" si="83"/>
        <v>0</v>
      </c>
      <c r="DL81" s="42">
        <f t="shared" si="83"/>
        <v>0</v>
      </c>
      <c r="DM81" s="42">
        <f t="shared" si="83"/>
        <v>0</v>
      </c>
      <c r="DN81" s="42">
        <f t="shared" si="83"/>
        <v>0</v>
      </c>
      <c r="DO81" s="42">
        <f t="shared" si="83"/>
        <v>0</v>
      </c>
      <c r="DP81" s="42">
        <f t="shared" si="83"/>
        <v>0</v>
      </c>
      <c r="DQ81" s="42">
        <f t="shared" si="83"/>
        <v>0</v>
      </c>
      <c r="DR81" s="42">
        <f t="shared" si="83"/>
        <v>0</v>
      </c>
      <c r="DS81" s="42">
        <f t="shared" si="83"/>
        <v>0</v>
      </c>
      <c r="DT81" s="42">
        <f t="shared" si="83"/>
        <v>0</v>
      </c>
      <c r="DU81" s="42">
        <f t="shared" si="83"/>
        <v>0</v>
      </c>
      <c r="DV81" s="42">
        <f t="shared" si="83"/>
        <v>0</v>
      </c>
      <c r="DW81" s="42">
        <f t="shared" ref="DW81:DX103" si="84">AA81-CX81</f>
        <v>0</v>
      </c>
      <c r="DX81" s="42">
        <f t="shared" si="84"/>
        <v>0</v>
      </c>
      <c r="DY81" s="42"/>
      <c r="DZ81" s="42">
        <f t="shared" ref="DZ81:DZ103" si="85">AD81-DA81</f>
        <v>61747394</v>
      </c>
      <c r="EB81" s="47">
        <f t="shared" si="62"/>
        <v>305584229</v>
      </c>
      <c r="EC81" s="47">
        <f t="shared" si="63"/>
        <v>305584229</v>
      </c>
      <c r="ED81" s="47">
        <f t="shared" si="64"/>
        <v>305584229</v>
      </c>
      <c r="EF81" s="47"/>
    </row>
    <row r="82" spans="1:136" ht="72.599999999999994" customHeight="1" x14ac:dyDescent="0.3">
      <c r="A82" s="100"/>
      <c r="B82" s="95"/>
      <c r="C82" s="55" t="s">
        <v>241</v>
      </c>
      <c r="D82" s="50" t="s">
        <v>242</v>
      </c>
      <c r="E82" s="40">
        <v>520</v>
      </c>
      <c r="F82" s="41" t="s">
        <v>139</v>
      </c>
      <c r="G82" s="42">
        <f t="shared" si="72"/>
        <v>20000000</v>
      </c>
      <c r="H82" s="42"/>
      <c r="I82" s="42">
        <v>20000000</v>
      </c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3">
        <f t="shared" si="32"/>
        <v>0.57620000000000005</v>
      </c>
      <c r="AF82" s="42">
        <f t="shared" si="73"/>
        <v>11524000</v>
      </c>
      <c r="AG82" s="42"/>
      <c r="AH82" s="42">
        <f>+'[3]NOVIEMBRE 2019'!$K$4752</f>
        <v>11524000</v>
      </c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3">
        <f t="shared" si="59"/>
        <v>0.42379999999999995</v>
      </c>
      <c r="BE82" s="42">
        <f t="shared" si="74"/>
        <v>8476000</v>
      </c>
      <c r="BF82" s="42">
        <f t="shared" si="75"/>
        <v>0</v>
      </c>
      <c r="BG82" s="42">
        <f t="shared" si="75"/>
        <v>8476000</v>
      </c>
      <c r="BH82" s="42">
        <f t="shared" si="75"/>
        <v>0</v>
      </c>
      <c r="BI82" s="42">
        <f t="shared" si="76"/>
        <v>0</v>
      </c>
      <c r="BJ82" s="42">
        <f t="shared" si="77"/>
        <v>0</v>
      </c>
      <c r="BK82" s="42">
        <f t="shared" si="77"/>
        <v>0</v>
      </c>
      <c r="BL82" s="42">
        <f t="shared" si="77"/>
        <v>0</v>
      </c>
      <c r="BM82" s="42">
        <f t="shared" si="77"/>
        <v>0</v>
      </c>
      <c r="BN82" s="42">
        <f t="shared" si="77"/>
        <v>0</v>
      </c>
      <c r="BO82" s="42">
        <f t="shared" si="77"/>
        <v>0</v>
      </c>
      <c r="BP82" s="42">
        <f t="shared" si="77"/>
        <v>0</v>
      </c>
      <c r="BQ82" s="42">
        <f t="shared" si="77"/>
        <v>0</v>
      </c>
      <c r="BR82" s="42">
        <f t="shared" si="77"/>
        <v>0</v>
      </c>
      <c r="BS82" s="42">
        <f t="shared" si="77"/>
        <v>0</v>
      </c>
      <c r="BT82" s="42">
        <f t="shared" si="77"/>
        <v>0</v>
      </c>
      <c r="BU82" s="42">
        <f t="shared" si="77"/>
        <v>0</v>
      </c>
      <c r="BV82" s="42">
        <f t="shared" si="77"/>
        <v>0</v>
      </c>
      <c r="BW82" s="42">
        <f t="shared" si="77"/>
        <v>0</v>
      </c>
      <c r="BX82" s="42">
        <f t="shared" si="77"/>
        <v>0</v>
      </c>
      <c r="BY82" s="42">
        <f t="shared" si="77"/>
        <v>0</v>
      </c>
      <c r="BZ82" s="42">
        <f t="shared" si="78"/>
        <v>0</v>
      </c>
      <c r="CA82" s="42"/>
      <c r="CB82" s="42">
        <f t="shared" si="79"/>
        <v>0</v>
      </c>
      <c r="CC82" s="43">
        <f t="shared" si="60"/>
        <v>0.48625000000000002</v>
      </c>
      <c r="CD82" s="42">
        <f t="shared" si="80"/>
        <v>9725000</v>
      </c>
      <c r="CE82" s="42"/>
      <c r="CF82" s="42">
        <f>+'[3]NOVIEMBRE 2019'!$H$4750</f>
        <v>9725000</v>
      </c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3">
        <f t="shared" si="61"/>
        <v>0.51374999999999993</v>
      </c>
      <c r="DC82" s="42">
        <f t="shared" si="81"/>
        <v>10275000</v>
      </c>
      <c r="DD82" s="42">
        <f t="shared" si="82"/>
        <v>0</v>
      </c>
      <c r="DE82" s="42">
        <f t="shared" si="82"/>
        <v>10275000</v>
      </c>
      <c r="DF82" s="42"/>
      <c r="DG82" s="42">
        <f t="shared" si="83"/>
        <v>0</v>
      </c>
      <c r="DH82" s="42">
        <f t="shared" si="83"/>
        <v>0</v>
      </c>
      <c r="DI82" s="42">
        <f t="shared" si="83"/>
        <v>0</v>
      </c>
      <c r="DJ82" s="42">
        <f t="shared" si="83"/>
        <v>0</v>
      </c>
      <c r="DK82" s="42">
        <f t="shared" si="83"/>
        <v>0</v>
      </c>
      <c r="DL82" s="42">
        <f t="shared" si="83"/>
        <v>0</v>
      </c>
      <c r="DM82" s="42">
        <f t="shared" si="83"/>
        <v>0</v>
      </c>
      <c r="DN82" s="42">
        <f t="shared" si="83"/>
        <v>0</v>
      </c>
      <c r="DO82" s="42">
        <f t="shared" si="83"/>
        <v>0</v>
      </c>
      <c r="DP82" s="42">
        <f t="shared" si="83"/>
        <v>0</v>
      </c>
      <c r="DQ82" s="42">
        <f t="shared" si="83"/>
        <v>0</v>
      </c>
      <c r="DR82" s="42">
        <f t="shared" si="83"/>
        <v>0</v>
      </c>
      <c r="DS82" s="42">
        <f t="shared" si="83"/>
        <v>0</v>
      </c>
      <c r="DT82" s="42">
        <f t="shared" si="83"/>
        <v>0</v>
      </c>
      <c r="DU82" s="42">
        <f t="shared" si="83"/>
        <v>0</v>
      </c>
      <c r="DV82" s="42">
        <f t="shared" si="83"/>
        <v>0</v>
      </c>
      <c r="DW82" s="42">
        <f t="shared" si="84"/>
        <v>0</v>
      </c>
      <c r="DX82" s="42">
        <f t="shared" si="84"/>
        <v>0</v>
      </c>
      <c r="DY82" s="42"/>
      <c r="DZ82" s="42">
        <f t="shared" si="85"/>
        <v>0</v>
      </c>
      <c r="EB82" s="47">
        <f t="shared" si="62"/>
        <v>20000000</v>
      </c>
      <c r="EC82" s="47">
        <f t="shared" si="63"/>
        <v>20000000</v>
      </c>
      <c r="ED82" s="47">
        <f t="shared" si="64"/>
        <v>20000000</v>
      </c>
    </row>
    <row r="83" spans="1:136" ht="46.2" customHeight="1" x14ac:dyDescent="0.3">
      <c r="A83" s="100"/>
      <c r="B83" s="101"/>
      <c r="C83" s="55" t="s">
        <v>243</v>
      </c>
      <c r="D83" s="39" t="s">
        <v>244</v>
      </c>
      <c r="E83" s="40">
        <v>520</v>
      </c>
      <c r="F83" s="41" t="s">
        <v>245</v>
      </c>
      <c r="G83" s="42">
        <f t="shared" si="72"/>
        <v>50000000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>
        <v>20000000</v>
      </c>
      <c r="AA83" s="42"/>
      <c r="AB83" s="42"/>
      <c r="AC83" s="42"/>
      <c r="AD83" s="42">
        <f>24000000+4000000+2000000</f>
        <v>30000000</v>
      </c>
      <c r="AE83" s="43">
        <f t="shared" si="32"/>
        <v>0.88865665999999999</v>
      </c>
      <c r="AF83" s="42">
        <f t="shared" si="73"/>
        <v>44432833</v>
      </c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>
        <f>+'[8]AGOSTO 2019'!$AA$3331</f>
        <v>20000000</v>
      </c>
      <c r="AZ83" s="42"/>
      <c r="BA83" s="42"/>
      <c r="BB83" s="42"/>
      <c r="BC83" s="42">
        <f>+'[1]OCTUBRE 2019'!$AG$4307</f>
        <v>24432833</v>
      </c>
      <c r="BD83" s="43">
        <f t="shared" si="59"/>
        <v>0.11134334000000001</v>
      </c>
      <c r="BE83" s="42">
        <f t="shared" si="74"/>
        <v>5567167</v>
      </c>
      <c r="BF83" s="42">
        <f t="shared" si="75"/>
        <v>0</v>
      </c>
      <c r="BG83" s="42">
        <f t="shared" si="75"/>
        <v>0</v>
      </c>
      <c r="BH83" s="42">
        <f t="shared" si="75"/>
        <v>0</v>
      </c>
      <c r="BI83" s="42">
        <f t="shared" si="76"/>
        <v>0</v>
      </c>
      <c r="BJ83" s="42">
        <f t="shared" si="77"/>
        <v>0</v>
      </c>
      <c r="BK83" s="42">
        <f t="shared" si="77"/>
        <v>0</v>
      </c>
      <c r="BL83" s="42">
        <f t="shared" si="77"/>
        <v>0</v>
      </c>
      <c r="BM83" s="42">
        <f t="shared" si="77"/>
        <v>0</v>
      </c>
      <c r="BN83" s="42">
        <f t="shared" si="77"/>
        <v>0</v>
      </c>
      <c r="BO83" s="42">
        <f t="shared" si="77"/>
        <v>0</v>
      </c>
      <c r="BP83" s="42">
        <f t="shared" si="77"/>
        <v>0</v>
      </c>
      <c r="BQ83" s="42">
        <f t="shared" si="77"/>
        <v>0</v>
      </c>
      <c r="BR83" s="42">
        <f t="shared" si="77"/>
        <v>0</v>
      </c>
      <c r="BS83" s="42">
        <f t="shared" si="77"/>
        <v>0</v>
      </c>
      <c r="BT83" s="42">
        <f t="shared" si="77"/>
        <v>0</v>
      </c>
      <c r="BU83" s="42">
        <f t="shared" si="77"/>
        <v>0</v>
      </c>
      <c r="BV83" s="42">
        <f t="shared" si="77"/>
        <v>0</v>
      </c>
      <c r="BW83" s="42">
        <f t="shared" si="77"/>
        <v>0</v>
      </c>
      <c r="BX83" s="42">
        <f t="shared" si="77"/>
        <v>0</v>
      </c>
      <c r="BY83" s="42">
        <f t="shared" si="77"/>
        <v>0</v>
      </c>
      <c r="BZ83" s="42">
        <f t="shared" si="78"/>
        <v>0</v>
      </c>
      <c r="CA83" s="42"/>
      <c r="CB83" s="42">
        <f t="shared" si="79"/>
        <v>5567167</v>
      </c>
      <c r="CC83" s="43">
        <f t="shared" si="60"/>
        <v>0.88667636000000005</v>
      </c>
      <c r="CD83" s="42">
        <f t="shared" si="80"/>
        <v>44333818</v>
      </c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>
        <f>+'[3]NOVIEMBRE 2019'!$H$4788</f>
        <v>20000000</v>
      </c>
      <c r="CX83" s="42"/>
      <c r="CY83" s="42"/>
      <c r="CZ83" s="42"/>
      <c r="DA83" s="42">
        <f>+'[3]NOVIEMBRE 2019'!$H$4768+'[3]NOVIEMBRE 2019'!$H$4769+'[3]NOVIEMBRE 2019'!$H$4770+'[3]NOVIEMBRE 2019'!$H$4771+'[3]NOVIEMBRE 2019'!$H$4772+'[3]NOVIEMBRE 2019'!$H$4773+'[3]NOVIEMBRE 2019'!$H$4774+'[3]NOVIEMBRE 2019'!$H$4775+'[3]NOVIEMBRE 2019'!$H$4776+'[3]NOVIEMBRE 2019'!$H$4777+'[3]NOVIEMBRE 2019'!$H$4778+'[3]NOVIEMBRE 2019'!$H$4779+'[3]NOVIEMBRE 2019'!$H$4780+'[3]NOVIEMBRE 2019'!$H$4781+'[3]NOVIEMBRE 2019'!$H$4782+'[3]NOVIEMBRE 2019'!$H$4783+'[3]NOVIEMBRE 2019'!$H$4786+'[3]NOVIEMBRE 2019'!$H$4787+'[3]NOVIEMBRE 2019'!$H$4790+'[3]NOVIEMBRE 2019'!$H$4791+'[3]NOVIEMBRE 2019'!$H$4792+'[3]NOVIEMBRE 2019'!$H$4793+'[3]NOVIEMBRE 2019'!$H$4794</f>
        <v>24333818</v>
      </c>
      <c r="DB83" s="43">
        <f t="shared" si="61"/>
        <v>0.11332363999999995</v>
      </c>
      <c r="DC83" s="42">
        <f t="shared" si="81"/>
        <v>5666182</v>
      </c>
      <c r="DD83" s="42">
        <f t="shared" si="82"/>
        <v>0</v>
      </c>
      <c r="DE83" s="42">
        <f t="shared" si="82"/>
        <v>0</v>
      </c>
      <c r="DF83" s="42"/>
      <c r="DG83" s="42">
        <f t="shared" si="83"/>
        <v>0</v>
      </c>
      <c r="DH83" s="42">
        <f t="shared" si="83"/>
        <v>0</v>
      </c>
      <c r="DI83" s="42">
        <f t="shared" si="83"/>
        <v>0</v>
      </c>
      <c r="DJ83" s="42">
        <f t="shared" si="83"/>
        <v>0</v>
      </c>
      <c r="DK83" s="42">
        <f t="shared" si="83"/>
        <v>0</v>
      </c>
      <c r="DL83" s="42">
        <f t="shared" si="83"/>
        <v>0</v>
      </c>
      <c r="DM83" s="42">
        <f t="shared" si="83"/>
        <v>0</v>
      </c>
      <c r="DN83" s="42">
        <f t="shared" si="83"/>
        <v>0</v>
      </c>
      <c r="DO83" s="42">
        <f t="shared" si="83"/>
        <v>0</v>
      </c>
      <c r="DP83" s="42">
        <f t="shared" si="83"/>
        <v>0</v>
      </c>
      <c r="DQ83" s="42">
        <f t="shared" si="83"/>
        <v>0</v>
      </c>
      <c r="DR83" s="42">
        <f t="shared" si="83"/>
        <v>0</v>
      </c>
      <c r="DS83" s="42">
        <f t="shared" si="83"/>
        <v>0</v>
      </c>
      <c r="DT83" s="42">
        <f t="shared" si="83"/>
        <v>0</v>
      </c>
      <c r="DU83" s="42">
        <f t="shared" si="83"/>
        <v>0</v>
      </c>
      <c r="DV83" s="42">
        <f t="shared" si="83"/>
        <v>0</v>
      </c>
      <c r="DW83" s="42">
        <f t="shared" si="84"/>
        <v>0</v>
      </c>
      <c r="DX83" s="42">
        <f t="shared" si="84"/>
        <v>0</v>
      </c>
      <c r="DY83" s="42"/>
      <c r="DZ83" s="42">
        <f t="shared" si="85"/>
        <v>5666182</v>
      </c>
      <c r="EB83" s="47">
        <f t="shared" si="62"/>
        <v>50000000</v>
      </c>
      <c r="EC83" s="47">
        <f t="shared" si="63"/>
        <v>50000000</v>
      </c>
      <c r="ED83" s="47">
        <f t="shared" si="64"/>
        <v>50000000</v>
      </c>
    </row>
    <row r="84" spans="1:136" ht="19.8" customHeight="1" x14ac:dyDescent="0.3">
      <c r="A84" s="100"/>
      <c r="B84" s="102"/>
      <c r="C84" s="55" t="s">
        <v>246</v>
      </c>
      <c r="D84" s="39" t="s">
        <v>247</v>
      </c>
      <c r="E84" s="40">
        <v>520</v>
      </c>
      <c r="F84" s="41" t="s">
        <v>139</v>
      </c>
      <c r="G84" s="42">
        <f t="shared" si="72"/>
        <v>15000000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>
        <v>15000000</v>
      </c>
      <c r="Y84" s="42"/>
      <c r="Z84" s="42"/>
      <c r="AA84" s="42"/>
      <c r="AB84" s="42"/>
      <c r="AC84" s="42"/>
      <c r="AD84" s="42"/>
      <c r="AE84" s="43"/>
      <c r="AF84" s="42">
        <f t="shared" si="73"/>
        <v>11685805</v>
      </c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>
        <f>+'[3]NOVIEMBRE 2019'!$Z$4801</f>
        <v>11685805</v>
      </c>
      <c r="AX84" s="42"/>
      <c r="AY84" s="42"/>
      <c r="AZ84" s="42"/>
      <c r="BA84" s="42"/>
      <c r="BB84" s="42"/>
      <c r="BC84" s="42"/>
      <c r="BD84" s="43">
        <f t="shared" si="59"/>
        <v>1</v>
      </c>
      <c r="BE84" s="42">
        <f t="shared" si="74"/>
        <v>3314195</v>
      </c>
      <c r="BF84" s="42">
        <f t="shared" si="75"/>
        <v>0</v>
      </c>
      <c r="BG84" s="42">
        <f t="shared" si="75"/>
        <v>0</v>
      </c>
      <c r="BH84" s="42">
        <f t="shared" si="75"/>
        <v>0</v>
      </c>
      <c r="BI84" s="42">
        <f t="shared" si="76"/>
        <v>0</v>
      </c>
      <c r="BJ84" s="42">
        <f t="shared" si="77"/>
        <v>0</v>
      </c>
      <c r="BK84" s="42">
        <f t="shared" si="77"/>
        <v>0</v>
      </c>
      <c r="BL84" s="42">
        <f t="shared" si="77"/>
        <v>0</v>
      </c>
      <c r="BM84" s="42">
        <f t="shared" si="77"/>
        <v>0</v>
      </c>
      <c r="BN84" s="42">
        <f t="shared" si="77"/>
        <v>0</v>
      </c>
      <c r="BO84" s="42">
        <f t="shared" si="77"/>
        <v>0</v>
      </c>
      <c r="BP84" s="42">
        <f t="shared" si="77"/>
        <v>0</v>
      </c>
      <c r="BQ84" s="42">
        <f t="shared" si="77"/>
        <v>0</v>
      </c>
      <c r="BR84" s="42">
        <f t="shared" si="77"/>
        <v>0</v>
      </c>
      <c r="BS84" s="42">
        <f t="shared" si="77"/>
        <v>0</v>
      </c>
      <c r="BT84" s="42">
        <f t="shared" si="77"/>
        <v>0</v>
      </c>
      <c r="BU84" s="42">
        <f t="shared" si="77"/>
        <v>0</v>
      </c>
      <c r="BV84" s="42">
        <f t="shared" si="77"/>
        <v>3314195</v>
      </c>
      <c r="BW84" s="42">
        <f t="shared" si="77"/>
        <v>0</v>
      </c>
      <c r="BX84" s="42">
        <f t="shared" si="77"/>
        <v>0</v>
      </c>
      <c r="BY84" s="42">
        <f t="shared" si="77"/>
        <v>0</v>
      </c>
      <c r="BZ84" s="42">
        <f t="shared" si="78"/>
        <v>0</v>
      </c>
      <c r="CA84" s="42"/>
      <c r="CB84" s="42">
        <f t="shared" si="79"/>
        <v>0</v>
      </c>
      <c r="CC84" s="43">
        <f t="shared" si="60"/>
        <v>3.4116666666666666E-3</v>
      </c>
      <c r="CD84" s="42">
        <f t="shared" si="80"/>
        <v>51175</v>
      </c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>
        <f>+'[3]NOVIEMBRE 2019'!$H$4799</f>
        <v>51175</v>
      </c>
      <c r="CV84" s="42"/>
      <c r="CW84" s="42"/>
      <c r="CX84" s="42"/>
      <c r="CY84" s="42"/>
      <c r="CZ84" s="42"/>
      <c r="DA84" s="42"/>
      <c r="DB84" s="43">
        <f t="shared" si="61"/>
        <v>0.9965883333333333</v>
      </c>
      <c r="DC84" s="42">
        <f t="shared" si="81"/>
        <v>14948825</v>
      </c>
      <c r="DD84" s="42">
        <f t="shared" si="82"/>
        <v>0</v>
      </c>
      <c r="DE84" s="42">
        <f t="shared" si="82"/>
        <v>0</v>
      </c>
      <c r="DF84" s="42"/>
      <c r="DG84" s="42">
        <f t="shared" si="83"/>
        <v>0</v>
      </c>
      <c r="DH84" s="42">
        <f t="shared" si="83"/>
        <v>0</v>
      </c>
      <c r="DI84" s="42">
        <f t="shared" si="83"/>
        <v>0</v>
      </c>
      <c r="DJ84" s="42">
        <f t="shared" si="83"/>
        <v>0</v>
      </c>
      <c r="DK84" s="42">
        <f t="shared" si="83"/>
        <v>0</v>
      </c>
      <c r="DL84" s="42">
        <f t="shared" si="83"/>
        <v>0</v>
      </c>
      <c r="DM84" s="42">
        <f t="shared" si="83"/>
        <v>0</v>
      </c>
      <c r="DN84" s="42">
        <f t="shared" si="83"/>
        <v>0</v>
      </c>
      <c r="DO84" s="42">
        <f t="shared" si="83"/>
        <v>0</v>
      </c>
      <c r="DP84" s="42">
        <f t="shared" si="83"/>
        <v>0</v>
      </c>
      <c r="DQ84" s="42">
        <f t="shared" si="83"/>
        <v>0</v>
      </c>
      <c r="DR84" s="42">
        <f t="shared" si="83"/>
        <v>0</v>
      </c>
      <c r="DS84" s="42">
        <f t="shared" si="83"/>
        <v>0</v>
      </c>
      <c r="DT84" s="42">
        <f t="shared" si="83"/>
        <v>14948825</v>
      </c>
      <c r="DU84" s="42">
        <f t="shared" si="83"/>
        <v>0</v>
      </c>
      <c r="DV84" s="42">
        <f t="shared" si="83"/>
        <v>0</v>
      </c>
      <c r="DW84" s="42">
        <f t="shared" si="84"/>
        <v>0</v>
      </c>
      <c r="DX84" s="42">
        <f t="shared" si="84"/>
        <v>0</v>
      </c>
      <c r="DY84" s="42"/>
      <c r="DZ84" s="42">
        <f t="shared" si="85"/>
        <v>0</v>
      </c>
      <c r="EB84" s="47">
        <f t="shared" si="62"/>
        <v>15000000</v>
      </c>
      <c r="EC84" s="47">
        <f t="shared" si="63"/>
        <v>15000000</v>
      </c>
      <c r="ED84" s="47">
        <f t="shared" si="64"/>
        <v>15000000</v>
      </c>
    </row>
    <row r="85" spans="1:136" ht="47.25" customHeight="1" x14ac:dyDescent="0.3">
      <c r="A85" s="100"/>
      <c r="B85" s="102"/>
      <c r="C85" s="55" t="s">
        <v>248</v>
      </c>
      <c r="D85" s="39" t="s">
        <v>249</v>
      </c>
      <c r="E85" s="40">
        <v>520</v>
      </c>
      <c r="F85" s="41" t="s">
        <v>139</v>
      </c>
      <c r="G85" s="42">
        <f t="shared" si="72"/>
        <v>15000000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>
        <v>15000000</v>
      </c>
      <c r="Y85" s="42"/>
      <c r="Z85" s="42"/>
      <c r="AA85" s="42"/>
      <c r="AB85" s="42"/>
      <c r="AC85" s="42"/>
      <c r="AD85" s="42"/>
      <c r="AE85" s="43"/>
      <c r="AF85" s="42">
        <f t="shared" si="73"/>
        <v>15000000</v>
      </c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>
        <f>+'[3]NOVIEMBRE 2019'!$Z$4809</f>
        <v>15000000</v>
      </c>
      <c r="AX85" s="42"/>
      <c r="AY85" s="42"/>
      <c r="AZ85" s="42"/>
      <c r="BA85" s="42"/>
      <c r="BB85" s="42"/>
      <c r="BC85" s="42"/>
      <c r="BD85" s="43">
        <f t="shared" si="59"/>
        <v>1</v>
      </c>
      <c r="BE85" s="42">
        <f t="shared" si="74"/>
        <v>0</v>
      </c>
      <c r="BF85" s="42">
        <f t="shared" si="75"/>
        <v>0</v>
      </c>
      <c r="BG85" s="42">
        <f t="shared" si="75"/>
        <v>0</v>
      </c>
      <c r="BH85" s="42">
        <f t="shared" si="75"/>
        <v>0</v>
      </c>
      <c r="BI85" s="42">
        <f t="shared" si="76"/>
        <v>0</v>
      </c>
      <c r="BJ85" s="42">
        <f t="shared" si="77"/>
        <v>0</v>
      </c>
      <c r="BK85" s="42">
        <f t="shared" si="77"/>
        <v>0</v>
      </c>
      <c r="BL85" s="42">
        <f t="shared" si="77"/>
        <v>0</v>
      </c>
      <c r="BM85" s="42">
        <f t="shared" si="77"/>
        <v>0</v>
      </c>
      <c r="BN85" s="42">
        <f t="shared" si="77"/>
        <v>0</v>
      </c>
      <c r="BO85" s="42">
        <f t="shared" si="77"/>
        <v>0</v>
      </c>
      <c r="BP85" s="42">
        <f t="shared" si="77"/>
        <v>0</v>
      </c>
      <c r="BQ85" s="42">
        <f t="shared" si="77"/>
        <v>0</v>
      </c>
      <c r="BR85" s="42">
        <f t="shared" si="77"/>
        <v>0</v>
      </c>
      <c r="BS85" s="42">
        <f t="shared" si="77"/>
        <v>0</v>
      </c>
      <c r="BT85" s="42">
        <f t="shared" si="77"/>
        <v>0</v>
      </c>
      <c r="BU85" s="42">
        <f t="shared" si="77"/>
        <v>0</v>
      </c>
      <c r="BV85" s="42">
        <f t="shared" si="77"/>
        <v>0</v>
      </c>
      <c r="BW85" s="42">
        <f t="shared" si="77"/>
        <v>0</v>
      </c>
      <c r="BX85" s="42">
        <f t="shared" si="77"/>
        <v>0</v>
      </c>
      <c r="BY85" s="42">
        <f t="shared" si="77"/>
        <v>0</v>
      </c>
      <c r="BZ85" s="42">
        <f t="shared" si="78"/>
        <v>0</v>
      </c>
      <c r="CA85" s="42"/>
      <c r="CB85" s="42">
        <f t="shared" si="79"/>
        <v>0</v>
      </c>
      <c r="CC85" s="43">
        <f t="shared" si="60"/>
        <v>0.42380666666666666</v>
      </c>
      <c r="CD85" s="42">
        <f t="shared" si="80"/>
        <v>6357100</v>
      </c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>
        <f>+'[3]NOVIEMBRE 2019'!$H$4807</f>
        <v>6357100</v>
      </c>
      <c r="CV85" s="42"/>
      <c r="CW85" s="42"/>
      <c r="CX85" s="42"/>
      <c r="CY85" s="42"/>
      <c r="CZ85" s="42"/>
      <c r="DA85" s="42"/>
      <c r="DB85" s="43">
        <f t="shared" si="61"/>
        <v>0.57619333333333334</v>
      </c>
      <c r="DC85" s="42">
        <f t="shared" si="81"/>
        <v>8642900</v>
      </c>
      <c r="DD85" s="42">
        <f t="shared" si="82"/>
        <v>0</v>
      </c>
      <c r="DE85" s="42">
        <f t="shared" si="82"/>
        <v>0</v>
      </c>
      <c r="DF85" s="42"/>
      <c r="DG85" s="42">
        <f t="shared" si="83"/>
        <v>0</v>
      </c>
      <c r="DH85" s="42">
        <f t="shared" si="83"/>
        <v>0</v>
      </c>
      <c r="DI85" s="42">
        <f t="shared" si="83"/>
        <v>0</v>
      </c>
      <c r="DJ85" s="42">
        <f t="shared" si="83"/>
        <v>0</v>
      </c>
      <c r="DK85" s="42">
        <f t="shared" si="83"/>
        <v>0</v>
      </c>
      <c r="DL85" s="42">
        <f t="shared" si="83"/>
        <v>0</v>
      </c>
      <c r="DM85" s="42">
        <f t="shared" si="83"/>
        <v>0</v>
      </c>
      <c r="DN85" s="42">
        <f t="shared" si="83"/>
        <v>0</v>
      </c>
      <c r="DO85" s="42">
        <f t="shared" si="83"/>
        <v>0</v>
      </c>
      <c r="DP85" s="42">
        <f t="shared" si="83"/>
        <v>0</v>
      </c>
      <c r="DQ85" s="42">
        <f t="shared" si="83"/>
        <v>0</v>
      </c>
      <c r="DR85" s="42">
        <f t="shared" si="83"/>
        <v>0</v>
      </c>
      <c r="DS85" s="42">
        <f t="shared" si="83"/>
        <v>0</v>
      </c>
      <c r="DT85" s="42">
        <f t="shared" si="83"/>
        <v>8642900</v>
      </c>
      <c r="DU85" s="42">
        <f t="shared" si="83"/>
        <v>0</v>
      </c>
      <c r="DV85" s="42">
        <f t="shared" si="83"/>
        <v>0</v>
      </c>
      <c r="DW85" s="42">
        <f t="shared" si="84"/>
        <v>0</v>
      </c>
      <c r="DX85" s="42">
        <f t="shared" si="84"/>
        <v>0</v>
      </c>
      <c r="DY85" s="42"/>
      <c r="DZ85" s="42">
        <f t="shared" si="85"/>
        <v>0</v>
      </c>
      <c r="EB85" s="47">
        <f t="shared" si="62"/>
        <v>15000000</v>
      </c>
      <c r="EC85" s="47">
        <f t="shared" si="63"/>
        <v>15000000</v>
      </c>
      <c r="ED85" s="47">
        <f t="shared" si="64"/>
        <v>15000000</v>
      </c>
    </row>
    <row r="86" spans="1:136" ht="31.2" customHeight="1" x14ac:dyDescent="0.3">
      <c r="A86" s="100"/>
      <c r="B86" s="103" t="s">
        <v>250</v>
      </c>
      <c r="C86" s="55" t="s">
        <v>251</v>
      </c>
      <c r="D86" s="39" t="s">
        <v>252</v>
      </c>
      <c r="E86" s="40">
        <v>520</v>
      </c>
      <c r="F86" s="41" t="s">
        <v>139</v>
      </c>
      <c r="G86" s="42">
        <f t="shared" si="72"/>
        <v>100000000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>
        <v>60000000</v>
      </c>
      <c r="Y86" s="42"/>
      <c r="Z86" s="42">
        <v>40000000</v>
      </c>
      <c r="AA86" s="42"/>
      <c r="AB86" s="42"/>
      <c r="AC86" s="42"/>
      <c r="AD86" s="42"/>
      <c r="AE86" s="43">
        <f t="shared" ref="AE86:AE142" si="86">+AF86/G86</f>
        <v>0.99890199999999996</v>
      </c>
      <c r="AF86" s="42">
        <f t="shared" si="73"/>
        <v>99890200</v>
      </c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>
        <f>+'[1]OCTUBRE 2019'!$H$4350-AY86</f>
        <v>60000000</v>
      </c>
      <c r="AX86" s="42"/>
      <c r="AY86" s="42">
        <f>+'[1]OCTUBRE 2019'!$H$4402+'[1]OCTUBRE 2019'!$H$4421</f>
        <v>39890200</v>
      </c>
      <c r="AZ86" s="42"/>
      <c r="BA86" s="42"/>
      <c r="BB86" s="42"/>
      <c r="BC86" s="42"/>
      <c r="BD86" s="43">
        <f t="shared" si="59"/>
        <v>1.0980000000000434E-3</v>
      </c>
      <c r="BE86" s="42">
        <f t="shared" si="74"/>
        <v>109800</v>
      </c>
      <c r="BF86" s="42">
        <f t="shared" si="75"/>
        <v>0</v>
      </c>
      <c r="BG86" s="42">
        <f t="shared" si="75"/>
        <v>0</v>
      </c>
      <c r="BH86" s="42">
        <f t="shared" si="75"/>
        <v>0</v>
      </c>
      <c r="BI86" s="42">
        <f t="shared" si="76"/>
        <v>0</v>
      </c>
      <c r="BJ86" s="42">
        <f t="shared" si="77"/>
        <v>0</v>
      </c>
      <c r="BK86" s="42">
        <f t="shared" si="77"/>
        <v>0</v>
      </c>
      <c r="BL86" s="42">
        <f t="shared" si="77"/>
        <v>0</v>
      </c>
      <c r="BM86" s="42">
        <f t="shared" si="77"/>
        <v>0</v>
      </c>
      <c r="BN86" s="42">
        <f t="shared" si="77"/>
        <v>0</v>
      </c>
      <c r="BO86" s="42">
        <f t="shared" si="77"/>
        <v>0</v>
      </c>
      <c r="BP86" s="42">
        <f t="shared" si="77"/>
        <v>0</v>
      </c>
      <c r="BQ86" s="42">
        <f t="shared" si="77"/>
        <v>0</v>
      </c>
      <c r="BR86" s="42">
        <f t="shared" si="77"/>
        <v>0</v>
      </c>
      <c r="BS86" s="42">
        <f t="shared" si="77"/>
        <v>0</v>
      </c>
      <c r="BT86" s="42">
        <f t="shared" si="77"/>
        <v>0</v>
      </c>
      <c r="BU86" s="42">
        <f t="shared" si="77"/>
        <v>0</v>
      </c>
      <c r="BV86" s="42">
        <f t="shared" si="77"/>
        <v>0</v>
      </c>
      <c r="BW86" s="42">
        <f t="shared" si="77"/>
        <v>0</v>
      </c>
      <c r="BX86" s="42">
        <f t="shared" si="77"/>
        <v>109800</v>
      </c>
      <c r="BY86" s="42">
        <f t="shared" si="77"/>
        <v>0</v>
      </c>
      <c r="BZ86" s="42">
        <f t="shared" si="78"/>
        <v>0</v>
      </c>
      <c r="CA86" s="42"/>
      <c r="CB86" s="42">
        <f t="shared" si="79"/>
        <v>0</v>
      </c>
      <c r="CC86" s="43">
        <f t="shared" si="60"/>
        <v>0.99890199999999996</v>
      </c>
      <c r="CD86" s="42">
        <f t="shared" si="80"/>
        <v>99890200</v>
      </c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>
        <f>+'[1]OCTUBRE 2019'!$H$4350-CW86</f>
        <v>60000000</v>
      </c>
      <c r="CV86" s="42"/>
      <c r="CW86" s="42">
        <f>+'[1]OCTUBRE 2019'!$H$4402+'[1]OCTUBRE 2019'!$H$4421</f>
        <v>39890200</v>
      </c>
      <c r="CX86" s="42"/>
      <c r="CY86" s="42"/>
      <c r="CZ86" s="42"/>
      <c r="DA86" s="42"/>
      <c r="DB86" s="43">
        <f t="shared" si="61"/>
        <v>1.0980000000000434E-3</v>
      </c>
      <c r="DC86" s="42">
        <f t="shared" si="81"/>
        <v>109800</v>
      </c>
      <c r="DD86" s="42">
        <f t="shared" si="82"/>
        <v>0</v>
      </c>
      <c r="DE86" s="42">
        <f t="shared" si="82"/>
        <v>0</v>
      </c>
      <c r="DF86" s="42"/>
      <c r="DG86" s="42">
        <f t="shared" si="83"/>
        <v>0</v>
      </c>
      <c r="DH86" s="42">
        <f t="shared" si="83"/>
        <v>0</v>
      </c>
      <c r="DI86" s="42">
        <f t="shared" si="83"/>
        <v>0</v>
      </c>
      <c r="DJ86" s="42">
        <f t="shared" si="83"/>
        <v>0</v>
      </c>
      <c r="DK86" s="42">
        <f t="shared" si="83"/>
        <v>0</v>
      </c>
      <c r="DL86" s="42">
        <f t="shared" si="83"/>
        <v>0</v>
      </c>
      <c r="DM86" s="42">
        <f t="shared" si="83"/>
        <v>0</v>
      </c>
      <c r="DN86" s="42">
        <f t="shared" si="83"/>
        <v>0</v>
      </c>
      <c r="DO86" s="42">
        <f t="shared" si="83"/>
        <v>0</v>
      </c>
      <c r="DP86" s="42">
        <f t="shared" si="83"/>
        <v>0</v>
      </c>
      <c r="DQ86" s="42">
        <f t="shared" si="83"/>
        <v>0</v>
      </c>
      <c r="DR86" s="42">
        <f t="shared" si="83"/>
        <v>0</v>
      </c>
      <c r="DS86" s="42">
        <f t="shared" si="83"/>
        <v>0</v>
      </c>
      <c r="DT86" s="42">
        <f t="shared" si="83"/>
        <v>0</v>
      </c>
      <c r="DU86" s="42">
        <f t="shared" si="83"/>
        <v>0</v>
      </c>
      <c r="DV86" s="42">
        <f t="shared" si="83"/>
        <v>109800</v>
      </c>
      <c r="DW86" s="42">
        <f t="shared" si="84"/>
        <v>0</v>
      </c>
      <c r="DX86" s="42">
        <f t="shared" si="84"/>
        <v>0</v>
      </c>
      <c r="DY86" s="42"/>
      <c r="DZ86" s="42">
        <f t="shared" si="85"/>
        <v>0</v>
      </c>
      <c r="EB86" s="47">
        <f t="shared" si="62"/>
        <v>100000000</v>
      </c>
      <c r="EC86" s="47">
        <f t="shared" si="63"/>
        <v>100000000</v>
      </c>
      <c r="ED86" s="47">
        <f t="shared" si="64"/>
        <v>100000000</v>
      </c>
    </row>
    <row r="87" spans="1:136" ht="44.4" customHeight="1" x14ac:dyDescent="0.3">
      <c r="A87" s="100"/>
      <c r="B87" s="104" t="s">
        <v>253</v>
      </c>
      <c r="C87" s="55" t="s">
        <v>254</v>
      </c>
      <c r="D87" s="39" t="s">
        <v>255</v>
      </c>
      <c r="E87" s="40">
        <v>520</v>
      </c>
      <c r="F87" s="41" t="s">
        <v>139</v>
      </c>
      <c r="G87" s="42">
        <f t="shared" si="72"/>
        <v>150000000</v>
      </c>
      <c r="H87" s="58"/>
      <c r="I87" s="42"/>
      <c r="J87" s="42"/>
      <c r="K87" s="42"/>
      <c r="L87" s="58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>
        <v>150000000</v>
      </c>
      <c r="Y87" s="42"/>
      <c r="Z87" s="42"/>
      <c r="AA87" s="42"/>
      <c r="AB87" s="42"/>
      <c r="AC87" s="42"/>
      <c r="AD87" s="42"/>
      <c r="AE87" s="43">
        <f t="shared" si="86"/>
        <v>0.93525399333333337</v>
      </c>
      <c r="AF87" s="42">
        <f t="shared" si="73"/>
        <v>140288099</v>
      </c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>
        <f>+'[3]NOVIEMBRE 2019'!$Z$4898</f>
        <v>140288099</v>
      </c>
      <c r="AX87" s="42"/>
      <c r="AY87" s="42"/>
      <c r="AZ87" s="42"/>
      <c r="BA87" s="42"/>
      <c r="BB87" s="42"/>
      <c r="BC87" s="42"/>
      <c r="BD87" s="43">
        <f t="shared" si="59"/>
        <v>6.4746006666666633E-2</v>
      </c>
      <c r="BE87" s="42">
        <f t="shared" si="74"/>
        <v>9711901</v>
      </c>
      <c r="BF87" s="42">
        <f t="shared" si="75"/>
        <v>0</v>
      </c>
      <c r="BG87" s="42">
        <f t="shared" si="75"/>
        <v>0</v>
      </c>
      <c r="BH87" s="42">
        <f t="shared" si="75"/>
        <v>0</v>
      </c>
      <c r="BI87" s="42">
        <f t="shared" si="76"/>
        <v>0</v>
      </c>
      <c r="BJ87" s="42">
        <f t="shared" si="77"/>
        <v>0</v>
      </c>
      <c r="BK87" s="42">
        <f t="shared" si="77"/>
        <v>0</v>
      </c>
      <c r="BL87" s="42">
        <f t="shared" si="77"/>
        <v>0</v>
      </c>
      <c r="BM87" s="42">
        <f t="shared" si="77"/>
        <v>0</v>
      </c>
      <c r="BN87" s="42">
        <f t="shared" si="77"/>
        <v>0</v>
      </c>
      <c r="BO87" s="42">
        <f t="shared" si="77"/>
        <v>0</v>
      </c>
      <c r="BP87" s="42">
        <f t="shared" si="77"/>
        <v>0</v>
      </c>
      <c r="BQ87" s="42">
        <f t="shared" si="77"/>
        <v>0</v>
      </c>
      <c r="BR87" s="42">
        <f t="shared" si="77"/>
        <v>0</v>
      </c>
      <c r="BS87" s="42">
        <f t="shared" si="77"/>
        <v>0</v>
      </c>
      <c r="BT87" s="42">
        <f t="shared" si="77"/>
        <v>0</v>
      </c>
      <c r="BU87" s="42">
        <f t="shared" si="77"/>
        <v>0</v>
      </c>
      <c r="BV87" s="42">
        <f t="shared" si="77"/>
        <v>9711901</v>
      </c>
      <c r="BW87" s="42">
        <f t="shared" si="77"/>
        <v>0</v>
      </c>
      <c r="BX87" s="42">
        <f t="shared" si="77"/>
        <v>0</v>
      </c>
      <c r="BY87" s="42">
        <f t="shared" si="77"/>
        <v>0</v>
      </c>
      <c r="BZ87" s="42">
        <f t="shared" si="78"/>
        <v>0</v>
      </c>
      <c r="CA87" s="42"/>
      <c r="CB87" s="42">
        <f t="shared" si="79"/>
        <v>0</v>
      </c>
      <c r="CC87" s="43">
        <f t="shared" si="60"/>
        <v>0.89171909999999999</v>
      </c>
      <c r="CD87" s="42">
        <f t="shared" si="80"/>
        <v>133757865</v>
      </c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>
        <f>+'[3]NOVIEMBRE 2019'!$H$4896</f>
        <v>133757865</v>
      </c>
      <c r="CV87" s="42"/>
      <c r="CW87" s="42"/>
      <c r="CX87" s="42"/>
      <c r="CY87" s="42"/>
      <c r="CZ87" s="42"/>
      <c r="DA87" s="42"/>
      <c r="DB87" s="43">
        <f t="shared" si="61"/>
        <v>0.10828090000000001</v>
      </c>
      <c r="DC87" s="42">
        <f t="shared" si="81"/>
        <v>16242135</v>
      </c>
      <c r="DD87" s="42">
        <f t="shared" si="82"/>
        <v>0</v>
      </c>
      <c r="DE87" s="42">
        <f t="shared" si="82"/>
        <v>0</v>
      </c>
      <c r="DF87" s="42"/>
      <c r="DG87" s="42">
        <f t="shared" si="83"/>
        <v>0</v>
      </c>
      <c r="DH87" s="42">
        <f t="shared" si="83"/>
        <v>0</v>
      </c>
      <c r="DI87" s="42">
        <f t="shared" si="83"/>
        <v>0</v>
      </c>
      <c r="DJ87" s="42">
        <f t="shared" si="83"/>
        <v>0</v>
      </c>
      <c r="DK87" s="42">
        <f t="shared" si="83"/>
        <v>0</v>
      </c>
      <c r="DL87" s="42">
        <f t="shared" si="83"/>
        <v>0</v>
      </c>
      <c r="DM87" s="42">
        <f t="shared" si="83"/>
        <v>0</v>
      </c>
      <c r="DN87" s="42">
        <f t="shared" si="83"/>
        <v>0</v>
      </c>
      <c r="DO87" s="42">
        <f t="shared" si="83"/>
        <v>0</v>
      </c>
      <c r="DP87" s="42">
        <f t="shared" si="83"/>
        <v>0</v>
      </c>
      <c r="DQ87" s="42">
        <f t="shared" si="83"/>
        <v>0</v>
      </c>
      <c r="DR87" s="42">
        <f t="shared" si="83"/>
        <v>0</v>
      </c>
      <c r="DS87" s="42">
        <f t="shared" si="83"/>
        <v>0</v>
      </c>
      <c r="DT87" s="42">
        <f t="shared" si="83"/>
        <v>16242135</v>
      </c>
      <c r="DU87" s="42">
        <f t="shared" si="83"/>
        <v>0</v>
      </c>
      <c r="DV87" s="42">
        <f t="shared" si="83"/>
        <v>0</v>
      </c>
      <c r="DW87" s="42">
        <f t="shared" si="84"/>
        <v>0</v>
      </c>
      <c r="DX87" s="42">
        <f t="shared" si="84"/>
        <v>0</v>
      </c>
      <c r="DY87" s="42"/>
      <c r="DZ87" s="42">
        <f t="shared" si="85"/>
        <v>0</v>
      </c>
      <c r="EB87" s="47">
        <f t="shared" si="62"/>
        <v>150000000</v>
      </c>
      <c r="EC87" s="47">
        <f t="shared" si="63"/>
        <v>150000000</v>
      </c>
      <c r="ED87" s="47">
        <f t="shared" si="64"/>
        <v>150000000</v>
      </c>
    </row>
    <row r="88" spans="1:136" ht="30" customHeight="1" x14ac:dyDescent="0.3">
      <c r="A88" s="100"/>
      <c r="B88" s="105"/>
      <c r="C88" s="55" t="s">
        <v>256</v>
      </c>
      <c r="D88" s="39" t="s">
        <v>257</v>
      </c>
      <c r="E88" s="40">
        <v>520</v>
      </c>
      <c r="F88" s="41" t="s">
        <v>232</v>
      </c>
      <c r="G88" s="42">
        <f t="shared" si="72"/>
        <v>2125618253</v>
      </c>
      <c r="H88" s="77"/>
      <c r="I88" s="58"/>
      <c r="J88" s="58"/>
      <c r="K88" s="58"/>
      <c r="L88" s="5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>
        <f>2000000000+115618253</f>
        <v>2115618253</v>
      </c>
      <c r="X88" s="42"/>
      <c r="Y88" s="42"/>
      <c r="Z88" s="42"/>
      <c r="AA88" s="42"/>
      <c r="AB88" s="42"/>
      <c r="AC88" s="42"/>
      <c r="AD88" s="42">
        <f>10000000</f>
        <v>10000000</v>
      </c>
      <c r="AE88" s="43">
        <f t="shared" si="86"/>
        <v>0.54927451124028337</v>
      </c>
      <c r="AF88" s="42">
        <f t="shared" si="73"/>
        <v>1167547927</v>
      </c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>
        <f>+'[3]NOVIEMBRE 2019'!$Y$4969</f>
        <v>1157547927</v>
      </c>
      <c r="AW88" s="42"/>
      <c r="AX88" s="42"/>
      <c r="AY88" s="42"/>
      <c r="AZ88" s="42"/>
      <c r="BA88" s="42"/>
      <c r="BB88" s="42"/>
      <c r="BC88" s="42">
        <f>+'[3]NOVIEMBRE 2019'!$AG$4969</f>
        <v>10000000</v>
      </c>
      <c r="BD88" s="43">
        <f t="shared" si="59"/>
        <v>0.45072548875971663</v>
      </c>
      <c r="BE88" s="42">
        <f t="shared" si="74"/>
        <v>958070326</v>
      </c>
      <c r="BF88" s="42">
        <f t="shared" si="75"/>
        <v>0</v>
      </c>
      <c r="BG88" s="42">
        <f t="shared" si="75"/>
        <v>0</v>
      </c>
      <c r="BH88" s="42">
        <f t="shared" si="75"/>
        <v>0</v>
      </c>
      <c r="BI88" s="42">
        <f t="shared" si="76"/>
        <v>0</v>
      </c>
      <c r="BJ88" s="42">
        <f t="shared" si="77"/>
        <v>0</v>
      </c>
      <c r="BK88" s="42">
        <f t="shared" si="77"/>
        <v>0</v>
      </c>
      <c r="BL88" s="42">
        <f t="shared" si="77"/>
        <v>0</v>
      </c>
      <c r="BM88" s="42">
        <f t="shared" si="77"/>
        <v>0</v>
      </c>
      <c r="BN88" s="42">
        <f t="shared" si="77"/>
        <v>0</v>
      </c>
      <c r="BO88" s="42">
        <f t="shared" si="77"/>
        <v>0</v>
      </c>
      <c r="BP88" s="42">
        <f t="shared" si="77"/>
        <v>0</v>
      </c>
      <c r="BQ88" s="42">
        <f t="shared" si="77"/>
        <v>0</v>
      </c>
      <c r="BR88" s="42">
        <f t="shared" si="77"/>
        <v>0</v>
      </c>
      <c r="BS88" s="42">
        <f t="shared" si="77"/>
        <v>0</v>
      </c>
      <c r="BT88" s="42">
        <f t="shared" si="77"/>
        <v>0</v>
      </c>
      <c r="BU88" s="42">
        <f t="shared" si="77"/>
        <v>958070326</v>
      </c>
      <c r="BV88" s="42">
        <f t="shared" si="77"/>
        <v>0</v>
      </c>
      <c r="BW88" s="42">
        <f t="shared" si="77"/>
        <v>0</v>
      </c>
      <c r="BX88" s="42">
        <f t="shared" si="77"/>
        <v>0</v>
      </c>
      <c r="BY88" s="42">
        <f t="shared" si="77"/>
        <v>0</v>
      </c>
      <c r="BZ88" s="42">
        <f t="shared" si="78"/>
        <v>0</v>
      </c>
      <c r="CA88" s="42"/>
      <c r="CB88" s="42">
        <f t="shared" si="79"/>
        <v>0</v>
      </c>
      <c r="CC88" s="43">
        <f t="shared" si="60"/>
        <v>0.51360271744900188</v>
      </c>
      <c r="CD88" s="42">
        <f t="shared" si="80"/>
        <v>1091723311</v>
      </c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>
        <f>+'[3]NOVIEMBRE 2019'!$H$4967-DA88</f>
        <v>1084000006</v>
      </c>
      <c r="CU88" s="42"/>
      <c r="CV88" s="42"/>
      <c r="CW88" s="42"/>
      <c r="CX88" s="42"/>
      <c r="CY88" s="42"/>
      <c r="CZ88" s="42"/>
      <c r="DA88" s="42">
        <f>+'[3]NOVIEMBRE 2019'!$H$4974+'[3]NOVIEMBRE 2019'!$H$4975+'[3]NOVIEMBRE 2019'!$H$5039+'[3]NOVIEMBRE 2019'!$H$5041+'[3]NOVIEMBRE 2019'!$H$5042+'[3]NOVIEMBRE 2019'!$H$5043+'[3]NOVIEMBRE 2019'!$H$5059+'[3]NOVIEMBRE 2019'!$H$5060+'[3]NOVIEMBRE 2019'!$H$5061+'[3]NOVIEMBRE 2019'!$H$5072+'[3]NOVIEMBRE 2019'!$H$5073+'[3]NOVIEMBRE 2019'!$H$5075+'[3]NOVIEMBRE 2019'!$H$5076+'[3]NOVIEMBRE 2019'!$H$5124</f>
        <v>7723305</v>
      </c>
      <c r="DB88" s="43">
        <f t="shared" si="61"/>
        <v>0.48639728255099812</v>
      </c>
      <c r="DC88" s="42">
        <f t="shared" si="81"/>
        <v>1033894942</v>
      </c>
      <c r="DD88" s="42">
        <f t="shared" si="82"/>
        <v>0</v>
      </c>
      <c r="DE88" s="42">
        <f t="shared" si="82"/>
        <v>0</v>
      </c>
      <c r="DF88" s="42"/>
      <c r="DG88" s="42">
        <f t="shared" si="83"/>
        <v>0</v>
      </c>
      <c r="DH88" s="42">
        <f t="shared" si="83"/>
        <v>0</v>
      </c>
      <c r="DI88" s="42">
        <f t="shared" si="83"/>
        <v>0</v>
      </c>
      <c r="DJ88" s="42">
        <f t="shared" si="83"/>
        <v>0</v>
      </c>
      <c r="DK88" s="42">
        <f t="shared" si="83"/>
        <v>0</v>
      </c>
      <c r="DL88" s="42">
        <f t="shared" si="83"/>
        <v>0</v>
      </c>
      <c r="DM88" s="42">
        <f t="shared" si="83"/>
        <v>0</v>
      </c>
      <c r="DN88" s="42">
        <f t="shared" si="83"/>
        <v>0</v>
      </c>
      <c r="DO88" s="42">
        <f t="shared" si="83"/>
        <v>0</v>
      </c>
      <c r="DP88" s="42">
        <f t="shared" si="83"/>
        <v>0</v>
      </c>
      <c r="DQ88" s="42">
        <f t="shared" si="83"/>
        <v>0</v>
      </c>
      <c r="DR88" s="42">
        <f t="shared" si="83"/>
        <v>0</v>
      </c>
      <c r="DS88" s="42">
        <f t="shared" si="83"/>
        <v>1031618247</v>
      </c>
      <c r="DT88" s="42">
        <f t="shared" si="83"/>
        <v>0</v>
      </c>
      <c r="DU88" s="42">
        <f t="shared" si="83"/>
        <v>0</v>
      </c>
      <c r="DV88" s="42">
        <f t="shared" si="83"/>
        <v>0</v>
      </c>
      <c r="DW88" s="42">
        <f t="shared" si="84"/>
        <v>0</v>
      </c>
      <c r="DX88" s="42">
        <f t="shared" si="84"/>
        <v>0</v>
      </c>
      <c r="DY88" s="42"/>
      <c r="DZ88" s="42">
        <f t="shared" si="85"/>
        <v>2276695</v>
      </c>
      <c r="EB88" s="47">
        <f t="shared" si="62"/>
        <v>2125618253</v>
      </c>
      <c r="EC88" s="47">
        <f t="shared" si="63"/>
        <v>2125618253</v>
      </c>
      <c r="ED88" s="47">
        <f t="shared" si="64"/>
        <v>2125618253</v>
      </c>
    </row>
    <row r="89" spans="1:136" ht="42" customHeight="1" x14ac:dyDescent="0.3">
      <c r="A89" s="100"/>
      <c r="B89" s="105"/>
      <c r="C89" s="55" t="s">
        <v>258</v>
      </c>
      <c r="D89" s="39" t="s">
        <v>259</v>
      </c>
      <c r="E89" s="40">
        <v>520</v>
      </c>
      <c r="F89" s="41" t="s">
        <v>139</v>
      </c>
      <c r="G89" s="42">
        <f t="shared" si="72"/>
        <v>12000000</v>
      </c>
      <c r="H89" s="58"/>
      <c r="I89" s="58"/>
      <c r="J89" s="58"/>
      <c r="K89" s="58"/>
      <c r="L89" s="58"/>
      <c r="M89" s="58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>
        <v>12000000</v>
      </c>
      <c r="Y89" s="42"/>
      <c r="Z89" s="42"/>
      <c r="AA89" s="42"/>
      <c r="AB89" s="42"/>
      <c r="AC89" s="42"/>
      <c r="AD89" s="42"/>
      <c r="AE89" s="43">
        <f t="shared" si="86"/>
        <v>0.83888891666666665</v>
      </c>
      <c r="AF89" s="42">
        <f t="shared" si="73"/>
        <v>10066667</v>
      </c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>
        <f>+'[10]ENERO 2019'!$Y$1162</f>
        <v>10066667</v>
      </c>
      <c r="AX89" s="42"/>
      <c r="AY89" s="42"/>
      <c r="AZ89" s="42"/>
      <c r="BA89" s="42"/>
      <c r="BB89" s="42"/>
      <c r="BC89" s="42"/>
      <c r="BD89" s="43">
        <f t="shared" si="59"/>
        <v>0.16111108333333335</v>
      </c>
      <c r="BE89" s="42">
        <f t="shared" si="74"/>
        <v>1933333</v>
      </c>
      <c r="BF89" s="42">
        <f t="shared" si="75"/>
        <v>0</v>
      </c>
      <c r="BG89" s="42">
        <f t="shared" si="75"/>
        <v>0</v>
      </c>
      <c r="BH89" s="42">
        <f t="shared" si="75"/>
        <v>0</v>
      </c>
      <c r="BI89" s="42">
        <f t="shared" si="76"/>
        <v>0</v>
      </c>
      <c r="BJ89" s="42">
        <f t="shared" si="77"/>
        <v>0</v>
      </c>
      <c r="BK89" s="42">
        <f t="shared" si="77"/>
        <v>0</v>
      </c>
      <c r="BL89" s="42">
        <f t="shared" si="77"/>
        <v>0</v>
      </c>
      <c r="BM89" s="42">
        <f t="shared" si="77"/>
        <v>0</v>
      </c>
      <c r="BN89" s="42">
        <f t="shared" si="77"/>
        <v>0</v>
      </c>
      <c r="BO89" s="42">
        <f t="shared" si="77"/>
        <v>0</v>
      </c>
      <c r="BP89" s="42">
        <f t="shared" si="77"/>
        <v>0</v>
      </c>
      <c r="BQ89" s="42">
        <f t="shared" si="77"/>
        <v>0</v>
      </c>
      <c r="BR89" s="42">
        <f t="shared" si="77"/>
        <v>0</v>
      </c>
      <c r="BS89" s="42">
        <f t="shared" si="77"/>
        <v>0</v>
      </c>
      <c r="BT89" s="42">
        <f t="shared" si="77"/>
        <v>0</v>
      </c>
      <c r="BU89" s="42">
        <f t="shared" si="77"/>
        <v>0</v>
      </c>
      <c r="BV89" s="42">
        <f t="shared" si="77"/>
        <v>1933333</v>
      </c>
      <c r="BW89" s="42">
        <f t="shared" si="77"/>
        <v>0</v>
      </c>
      <c r="BX89" s="42">
        <f t="shared" si="77"/>
        <v>0</v>
      </c>
      <c r="BY89" s="42">
        <f t="shared" si="77"/>
        <v>0</v>
      </c>
      <c r="BZ89" s="42">
        <f t="shared" si="78"/>
        <v>0</v>
      </c>
      <c r="CA89" s="42"/>
      <c r="CB89" s="42">
        <f t="shared" si="79"/>
        <v>0</v>
      </c>
      <c r="CC89" s="43">
        <f t="shared" si="60"/>
        <v>0.83766358333333335</v>
      </c>
      <c r="CD89" s="42">
        <f t="shared" si="80"/>
        <v>10051963</v>
      </c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>
        <f>+'[10]ENERO 2019'!$H$1160</f>
        <v>10051963</v>
      </c>
      <c r="CV89" s="42"/>
      <c r="CW89" s="42"/>
      <c r="CX89" s="42"/>
      <c r="CY89" s="42"/>
      <c r="CZ89" s="42"/>
      <c r="DA89" s="42"/>
      <c r="DB89" s="43">
        <f t="shared" si="61"/>
        <v>0.16233641666666665</v>
      </c>
      <c r="DC89" s="42">
        <f t="shared" si="81"/>
        <v>1948037</v>
      </c>
      <c r="DD89" s="42">
        <f t="shared" si="82"/>
        <v>0</v>
      </c>
      <c r="DE89" s="42">
        <f t="shared" si="82"/>
        <v>0</v>
      </c>
      <c r="DF89" s="42"/>
      <c r="DG89" s="42">
        <f t="shared" si="83"/>
        <v>0</v>
      </c>
      <c r="DH89" s="42">
        <f t="shared" si="83"/>
        <v>0</v>
      </c>
      <c r="DI89" s="42">
        <f t="shared" si="83"/>
        <v>0</v>
      </c>
      <c r="DJ89" s="42">
        <f t="shared" si="83"/>
        <v>0</v>
      </c>
      <c r="DK89" s="42">
        <f t="shared" si="83"/>
        <v>0</v>
      </c>
      <c r="DL89" s="42">
        <f t="shared" si="83"/>
        <v>0</v>
      </c>
      <c r="DM89" s="42">
        <f t="shared" si="83"/>
        <v>0</v>
      </c>
      <c r="DN89" s="42">
        <f t="shared" si="83"/>
        <v>0</v>
      </c>
      <c r="DO89" s="42">
        <f t="shared" si="83"/>
        <v>0</v>
      </c>
      <c r="DP89" s="42">
        <f t="shared" si="83"/>
        <v>0</v>
      </c>
      <c r="DQ89" s="42">
        <f t="shared" si="83"/>
        <v>0</v>
      </c>
      <c r="DR89" s="42">
        <f t="shared" si="83"/>
        <v>0</v>
      </c>
      <c r="DS89" s="42">
        <f t="shared" si="83"/>
        <v>0</v>
      </c>
      <c r="DT89" s="42">
        <f t="shared" si="83"/>
        <v>1948037</v>
      </c>
      <c r="DU89" s="42">
        <f t="shared" si="83"/>
        <v>0</v>
      </c>
      <c r="DV89" s="42">
        <f t="shared" si="83"/>
        <v>0</v>
      </c>
      <c r="DW89" s="42">
        <f t="shared" si="84"/>
        <v>0</v>
      </c>
      <c r="DX89" s="42">
        <f t="shared" si="84"/>
        <v>0</v>
      </c>
      <c r="DY89" s="42"/>
      <c r="DZ89" s="42">
        <f t="shared" si="85"/>
        <v>0</v>
      </c>
      <c r="EB89" s="47">
        <f t="shared" si="62"/>
        <v>12000000</v>
      </c>
      <c r="EC89" s="47">
        <f t="shared" si="63"/>
        <v>12000000</v>
      </c>
      <c r="ED89" s="47">
        <f t="shared" si="64"/>
        <v>12000000</v>
      </c>
    </row>
    <row r="90" spans="1:136" ht="29.4" customHeight="1" x14ac:dyDescent="0.3">
      <c r="A90" s="100"/>
      <c r="B90" s="105"/>
      <c r="C90" s="55" t="s">
        <v>260</v>
      </c>
      <c r="D90" s="39" t="s">
        <v>261</v>
      </c>
      <c r="E90" s="40">
        <v>520</v>
      </c>
      <c r="F90" s="41" t="s">
        <v>139</v>
      </c>
      <c r="G90" s="42">
        <f t="shared" si="72"/>
        <v>15000000</v>
      </c>
      <c r="H90" s="58"/>
      <c r="I90" s="58">
        <f>250000000-100000000-150000000</f>
        <v>0</v>
      </c>
      <c r="J90" s="58"/>
      <c r="K90" s="58"/>
      <c r="L90" s="58"/>
      <c r="M90" s="58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>
        <f>15000000+15000000-15000000</f>
        <v>15000000</v>
      </c>
      <c r="AE90" s="43">
        <f t="shared" si="86"/>
        <v>0.6415540666666667</v>
      </c>
      <c r="AF90" s="42">
        <f t="shared" si="73"/>
        <v>9623311</v>
      </c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>
        <f>+'[3]NOVIEMBRE 2019'!$AG$5141</f>
        <v>9623311</v>
      </c>
      <c r="BD90" s="43">
        <f t="shared" si="59"/>
        <v>0.3584459333333333</v>
      </c>
      <c r="BE90" s="42">
        <f t="shared" si="74"/>
        <v>5376689</v>
      </c>
      <c r="BF90" s="42">
        <f t="shared" si="75"/>
        <v>0</v>
      </c>
      <c r="BG90" s="42">
        <f t="shared" si="75"/>
        <v>0</v>
      </c>
      <c r="BH90" s="42">
        <f t="shared" si="75"/>
        <v>0</v>
      </c>
      <c r="BI90" s="42">
        <f t="shared" si="76"/>
        <v>0</v>
      </c>
      <c r="BJ90" s="42">
        <f t="shared" si="77"/>
        <v>0</v>
      </c>
      <c r="BK90" s="42">
        <f t="shared" si="77"/>
        <v>0</v>
      </c>
      <c r="BL90" s="42">
        <f t="shared" si="77"/>
        <v>0</v>
      </c>
      <c r="BM90" s="42">
        <f t="shared" si="77"/>
        <v>0</v>
      </c>
      <c r="BN90" s="42">
        <f t="shared" si="77"/>
        <v>0</v>
      </c>
      <c r="BO90" s="42">
        <f t="shared" si="77"/>
        <v>0</v>
      </c>
      <c r="BP90" s="42">
        <f t="shared" si="77"/>
        <v>0</v>
      </c>
      <c r="BQ90" s="42">
        <f t="shared" si="77"/>
        <v>0</v>
      </c>
      <c r="BR90" s="42">
        <f t="shared" si="77"/>
        <v>0</v>
      </c>
      <c r="BS90" s="42">
        <f t="shared" si="77"/>
        <v>0</v>
      </c>
      <c r="BT90" s="42">
        <f t="shared" si="77"/>
        <v>0</v>
      </c>
      <c r="BU90" s="42">
        <f t="shared" si="77"/>
        <v>0</v>
      </c>
      <c r="BV90" s="42">
        <f t="shared" si="77"/>
        <v>0</v>
      </c>
      <c r="BW90" s="42">
        <f t="shared" si="77"/>
        <v>0</v>
      </c>
      <c r="BX90" s="42">
        <f t="shared" si="77"/>
        <v>0</v>
      </c>
      <c r="BY90" s="42">
        <f t="shared" si="77"/>
        <v>0</v>
      </c>
      <c r="BZ90" s="42">
        <f t="shared" si="78"/>
        <v>0</v>
      </c>
      <c r="CA90" s="42"/>
      <c r="CB90" s="42">
        <f t="shared" si="79"/>
        <v>5376689</v>
      </c>
      <c r="CC90" s="43">
        <f t="shared" si="60"/>
        <v>0.6415540666666667</v>
      </c>
      <c r="CD90" s="42">
        <f t="shared" si="80"/>
        <v>9623311</v>
      </c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>
        <f>+'[3]NOVIEMBRE 2019'!$H$5139</f>
        <v>9623311</v>
      </c>
      <c r="DB90" s="43">
        <f t="shared" si="61"/>
        <v>0.3584459333333333</v>
      </c>
      <c r="DC90" s="42">
        <f t="shared" si="81"/>
        <v>5376689</v>
      </c>
      <c r="DD90" s="42">
        <f t="shared" si="82"/>
        <v>0</v>
      </c>
      <c r="DE90" s="42">
        <f t="shared" si="82"/>
        <v>0</v>
      </c>
      <c r="DF90" s="42"/>
      <c r="DG90" s="42">
        <f t="shared" si="83"/>
        <v>0</v>
      </c>
      <c r="DH90" s="42">
        <f t="shared" si="83"/>
        <v>0</v>
      </c>
      <c r="DI90" s="42">
        <f t="shared" si="83"/>
        <v>0</v>
      </c>
      <c r="DJ90" s="42">
        <f t="shared" si="83"/>
        <v>0</v>
      </c>
      <c r="DK90" s="42">
        <f t="shared" si="83"/>
        <v>0</v>
      </c>
      <c r="DL90" s="42">
        <f t="shared" si="83"/>
        <v>0</v>
      </c>
      <c r="DM90" s="42">
        <f t="shared" si="83"/>
        <v>0</v>
      </c>
      <c r="DN90" s="42">
        <f t="shared" si="83"/>
        <v>0</v>
      </c>
      <c r="DO90" s="42">
        <f t="shared" si="83"/>
        <v>0</v>
      </c>
      <c r="DP90" s="42">
        <f t="shared" si="83"/>
        <v>0</v>
      </c>
      <c r="DQ90" s="42">
        <f t="shared" si="83"/>
        <v>0</v>
      </c>
      <c r="DR90" s="42">
        <f t="shared" si="83"/>
        <v>0</v>
      </c>
      <c r="DS90" s="42">
        <f t="shared" si="83"/>
        <v>0</v>
      </c>
      <c r="DT90" s="42">
        <f t="shared" si="83"/>
        <v>0</v>
      </c>
      <c r="DU90" s="42">
        <f t="shared" si="83"/>
        <v>0</v>
      </c>
      <c r="DV90" s="42">
        <f t="shared" si="83"/>
        <v>0</v>
      </c>
      <c r="DW90" s="42">
        <f t="shared" si="84"/>
        <v>0</v>
      </c>
      <c r="DX90" s="42">
        <f t="shared" si="84"/>
        <v>0</v>
      </c>
      <c r="DY90" s="42"/>
      <c r="DZ90" s="42">
        <f t="shared" si="85"/>
        <v>5376689</v>
      </c>
      <c r="EB90" s="47">
        <f t="shared" si="62"/>
        <v>15000000</v>
      </c>
      <c r="EC90" s="47">
        <f t="shared" si="63"/>
        <v>15000000</v>
      </c>
      <c r="ED90" s="47">
        <f t="shared" si="64"/>
        <v>15000000</v>
      </c>
    </row>
    <row r="91" spans="1:136" ht="43.2" x14ac:dyDescent="0.3">
      <c r="A91" s="100"/>
      <c r="B91" s="105"/>
      <c r="C91" s="55" t="s">
        <v>262</v>
      </c>
      <c r="D91" s="39" t="s">
        <v>263</v>
      </c>
      <c r="E91" s="40">
        <v>520</v>
      </c>
      <c r="F91" s="41" t="s">
        <v>139</v>
      </c>
      <c r="G91" s="42">
        <f t="shared" si="72"/>
        <v>0</v>
      </c>
      <c r="H91" s="58"/>
      <c r="I91" s="42"/>
      <c r="J91" s="42"/>
      <c r="K91" s="42"/>
      <c r="L91" s="58"/>
      <c r="M91" s="58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3" t="e">
        <f t="shared" si="86"/>
        <v>#DIV/0!</v>
      </c>
      <c r="AF91" s="42">
        <f t="shared" si="73"/>
        <v>0</v>
      </c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3" t="e">
        <f t="shared" si="59"/>
        <v>#DIV/0!</v>
      </c>
      <c r="BE91" s="42">
        <f t="shared" si="74"/>
        <v>0</v>
      </c>
      <c r="BF91" s="42">
        <f t="shared" si="75"/>
        <v>0</v>
      </c>
      <c r="BG91" s="42">
        <f t="shared" si="75"/>
        <v>0</v>
      </c>
      <c r="BH91" s="42">
        <f t="shared" si="75"/>
        <v>0</v>
      </c>
      <c r="BI91" s="42">
        <f t="shared" si="76"/>
        <v>0</v>
      </c>
      <c r="BJ91" s="42">
        <f t="shared" si="77"/>
        <v>0</v>
      </c>
      <c r="BK91" s="42">
        <f t="shared" si="77"/>
        <v>0</v>
      </c>
      <c r="BL91" s="42">
        <f t="shared" si="77"/>
        <v>0</v>
      </c>
      <c r="BM91" s="42">
        <f t="shared" si="77"/>
        <v>0</v>
      </c>
      <c r="BN91" s="42">
        <f t="shared" si="77"/>
        <v>0</v>
      </c>
      <c r="BO91" s="42">
        <f t="shared" si="77"/>
        <v>0</v>
      </c>
      <c r="BP91" s="42">
        <f t="shared" si="77"/>
        <v>0</v>
      </c>
      <c r="BQ91" s="42">
        <f t="shared" si="77"/>
        <v>0</v>
      </c>
      <c r="BR91" s="42">
        <f t="shared" si="77"/>
        <v>0</v>
      </c>
      <c r="BS91" s="42">
        <f t="shared" si="77"/>
        <v>0</v>
      </c>
      <c r="BT91" s="42">
        <f t="shared" si="77"/>
        <v>0</v>
      </c>
      <c r="BU91" s="42">
        <f t="shared" si="77"/>
        <v>0</v>
      </c>
      <c r="BV91" s="42">
        <f t="shared" si="77"/>
        <v>0</v>
      </c>
      <c r="BW91" s="42">
        <f t="shared" si="77"/>
        <v>0</v>
      </c>
      <c r="BX91" s="42">
        <f t="shared" si="77"/>
        <v>0</v>
      </c>
      <c r="BY91" s="42">
        <f t="shared" si="77"/>
        <v>0</v>
      </c>
      <c r="BZ91" s="42">
        <f t="shared" si="78"/>
        <v>0</v>
      </c>
      <c r="CA91" s="42"/>
      <c r="CB91" s="42">
        <f t="shared" si="79"/>
        <v>0</v>
      </c>
      <c r="CC91" s="43" t="e">
        <f t="shared" si="60"/>
        <v>#DIV/0!</v>
      </c>
      <c r="CD91" s="42">
        <f t="shared" si="80"/>
        <v>0</v>
      </c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3" t="e">
        <f t="shared" si="61"/>
        <v>#DIV/0!</v>
      </c>
      <c r="DC91" s="42">
        <f t="shared" si="81"/>
        <v>0</v>
      </c>
      <c r="DD91" s="42">
        <f t="shared" si="82"/>
        <v>0</v>
      </c>
      <c r="DE91" s="42">
        <f t="shared" si="82"/>
        <v>0</v>
      </c>
      <c r="DF91" s="42"/>
      <c r="DG91" s="42">
        <f t="shared" si="83"/>
        <v>0</v>
      </c>
      <c r="DH91" s="42">
        <f t="shared" si="83"/>
        <v>0</v>
      </c>
      <c r="DI91" s="42">
        <f t="shared" si="83"/>
        <v>0</v>
      </c>
      <c r="DJ91" s="42">
        <f t="shared" si="83"/>
        <v>0</v>
      </c>
      <c r="DK91" s="42">
        <f t="shared" si="83"/>
        <v>0</v>
      </c>
      <c r="DL91" s="42">
        <f t="shared" si="83"/>
        <v>0</v>
      </c>
      <c r="DM91" s="42">
        <f t="shared" si="83"/>
        <v>0</v>
      </c>
      <c r="DN91" s="42">
        <f t="shared" si="83"/>
        <v>0</v>
      </c>
      <c r="DO91" s="42">
        <f t="shared" si="83"/>
        <v>0</v>
      </c>
      <c r="DP91" s="42">
        <f t="shared" si="83"/>
        <v>0</v>
      </c>
      <c r="DQ91" s="42">
        <f t="shared" si="83"/>
        <v>0</v>
      </c>
      <c r="DR91" s="42">
        <f t="shared" si="83"/>
        <v>0</v>
      </c>
      <c r="DS91" s="42">
        <f t="shared" si="83"/>
        <v>0</v>
      </c>
      <c r="DT91" s="42">
        <f t="shared" si="83"/>
        <v>0</v>
      </c>
      <c r="DU91" s="42">
        <f t="shared" si="83"/>
        <v>0</v>
      </c>
      <c r="DV91" s="42">
        <f t="shared" si="83"/>
        <v>0</v>
      </c>
      <c r="DW91" s="42">
        <f t="shared" si="84"/>
        <v>0</v>
      </c>
      <c r="DX91" s="42">
        <f t="shared" si="84"/>
        <v>0</v>
      </c>
      <c r="DY91" s="42"/>
      <c r="DZ91" s="42">
        <f t="shared" si="85"/>
        <v>0</v>
      </c>
      <c r="EB91" s="47">
        <f t="shared" si="62"/>
        <v>0</v>
      </c>
      <c r="EC91" s="47">
        <f t="shared" si="63"/>
        <v>0</v>
      </c>
      <c r="ED91" s="47">
        <f t="shared" si="64"/>
        <v>0</v>
      </c>
    </row>
    <row r="92" spans="1:136" ht="29.4" customHeight="1" x14ac:dyDescent="0.3">
      <c r="A92" s="100"/>
      <c r="B92" s="105"/>
      <c r="C92" s="55" t="s">
        <v>264</v>
      </c>
      <c r="D92" s="39" t="s">
        <v>265</v>
      </c>
      <c r="E92" s="40">
        <v>520</v>
      </c>
      <c r="F92" s="41" t="s">
        <v>266</v>
      </c>
      <c r="G92" s="42">
        <f t="shared" si="72"/>
        <v>740144558</v>
      </c>
      <c r="H92" s="58"/>
      <c r="I92" s="58">
        <f>100000000+20000000</f>
        <v>120000000</v>
      </c>
      <c r="J92" s="58"/>
      <c r="K92" s="58"/>
      <c r="L92" s="58"/>
      <c r="M92" s="58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>
        <f>10000000+4000000+4000000</f>
        <v>18000000</v>
      </c>
      <c r="Y92" s="42">
        <v>52565530</v>
      </c>
      <c r="Z92" s="42">
        <f>50000000</f>
        <v>50000000</v>
      </c>
      <c r="AA92" s="42"/>
      <c r="AB92" s="42"/>
      <c r="AC92" s="42"/>
      <c r="AD92" s="42">
        <f>428900527+60000000+45000000+1533333-30000000-6000000+54739+4090429-4000000</f>
        <v>499579028</v>
      </c>
      <c r="AE92" s="43">
        <f t="shared" si="86"/>
        <v>0.98081658394089011</v>
      </c>
      <c r="AF92" s="42">
        <f t="shared" si="73"/>
        <v>725946057</v>
      </c>
      <c r="AG92" s="42"/>
      <c r="AH92" s="42">
        <f>+'[4]JULIO 2019'!$K$3187</f>
        <v>120000000</v>
      </c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>
        <f>+'[4]JULIO 2019'!$Y$3187</f>
        <v>18000000</v>
      </c>
      <c r="AX92" s="42">
        <f>+'[5]JUNIO 2019'!$Z$2604</f>
        <v>52565530</v>
      </c>
      <c r="AY92" s="42">
        <f>+'[2]SEPTIEMBRE 2019'!$AB$4178</f>
        <v>50000000</v>
      </c>
      <c r="AZ92" s="42"/>
      <c r="BA92" s="42"/>
      <c r="BB92" s="42"/>
      <c r="BC92" s="42">
        <f>+'[3]NOVIEMBRE 2019'!$AG$5168</f>
        <v>485380527</v>
      </c>
      <c r="BD92" s="43">
        <f t="shared" si="59"/>
        <v>1.9183416059109892E-2</v>
      </c>
      <c r="BE92" s="42">
        <f t="shared" si="74"/>
        <v>14198501</v>
      </c>
      <c r="BF92" s="42">
        <f t="shared" si="75"/>
        <v>0</v>
      </c>
      <c r="BG92" s="42">
        <f t="shared" si="75"/>
        <v>0</v>
      </c>
      <c r="BH92" s="42">
        <f t="shared" si="75"/>
        <v>0</v>
      </c>
      <c r="BI92" s="42">
        <f t="shared" si="76"/>
        <v>0</v>
      </c>
      <c r="BJ92" s="42">
        <f t="shared" si="77"/>
        <v>0</v>
      </c>
      <c r="BK92" s="42">
        <f t="shared" si="77"/>
        <v>0</v>
      </c>
      <c r="BL92" s="42">
        <f t="shared" si="77"/>
        <v>0</v>
      </c>
      <c r="BM92" s="42">
        <f t="shared" si="77"/>
        <v>0</v>
      </c>
      <c r="BN92" s="42">
        <f t="shared" si="77"/>
        <v>0</v>
      </c>
      <c r="BO92" s="42">
        <f t="shared" si="77"/>
        <v>0</v>
      </c>
      <c r="BP92" s="42">
        <f t="shared" si="77"/>
        <v>0</v>
      </c>
      <c r="BQ92" s="42">
        <f t="shared" si="77"/>
        <v>0</v>
      </c>
      <c r="BR92" s="42">
        <f t="shared" si="77"/>
        <v>0</v>
      </c>
      <c r="BS92" s="42">
        <f t="shared" si="77"/>
        <v>0</v>
      </c>
      <c r="BT92" s="42">
        <f t="shared" si="77"/>
        <v>0</v>
      </c>
      <c r="BU92" s="42">
        <f t="shared" si="77"/>
        <v>0</v>
      </c>
      <c r="BV92" s="42">
        <f t="shared" si="77"/>
        <v>0</v>
      </c>
      <c r="BW92" s="42">
        <f t="shared" si="77"/>
        <v>0</v>
      </c>
      <c r="BX92" s="42">
        <f t="shared" si="77"/>
        <v>0</v>
      </c>
      <c r="BY92" s="42">
        <f t="shared" si="77"/>
        <v>0</v>
      </c>
      <c r="BZ92" s="42">
        <f t="shared" si="78"/>
        <v>0</v>
      </c>
      <c r="CA92" s="42"/>
      <c r="CB92" s="42">
        <f t="shared" si="79"/>
        <v>14198501</v>
      </c>
      <c r="CC92" s="43">
        <f t="shared" si="60"/>
        <v>0.95721811143817126</v>
      </c>
      <c r="CD92" s="42">
        <f t="shared" si="80"/>
        <v>708479776</v>
      </c>
      <c r="CE92" s="42"/>
      <c r="CF92" s="42">
        <f>+'[3]NOVIEMBRE 2019'!$H$5224+'[3]NOVIEMBRE 2019'!$K$5274</f>
        <v>120000000</v>
      </c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>
        <f>+'[3]NOVIEMBRE 2019'!$H$5236+'[3]NOVIEMBRE 2019'!$Z$5274-5800005</f>
        <v>12199995</v>
      </c>
      <c r="CV92" s="42">
        <f>+'[3]NOVIEMBRE 2019'!$H$5256</f>
        <v>51900000</v>
      </c>
      <c r="CW92" s="42">
        <f>+'[3]NOVIEMBRE 2019'!$H$5299</f>
        <v>50000000</v>
      </c>
      <c r="CX92" s="42"/>
      <c r="CY92" s="42"/>
      <c r="CZ92" s="42"/>
      <c r="DA92" s="42">
        <f>+'[3]NOVIEMBRE 2019'!$H$5169+'[3]NOVIEMBRE 2019'!$H$5185+'[3]NOVIEMBRE 2019'!$H$5203+'[3]NOVIEMBRE 2019'!$H$5221+'[3]NOVIEMBRE 2019'!$H$5240+'[3]NOVIEMBRE 2019'!$H$5242+'[3]NOVIEMBRE 2019'!$H$5247+'[3]NOVIEMBRE 2019'!$H$5267+'[3]NOVIEMBRE 2019'!$H$5281+'[3]NOVIEMBRE 2019'!$H$5291+'[3]NOVIEMBRE 2019'!$H$5294+'[3]NOVIEMBRE 2019'!$H$5297+'[3]NOVIEMBRE 2019'!$H$5313+'[3]NOVIEMBRE 2019'!$H$5318</f>
        <v>474379781</v>
      </c>
      <c r="DB92" s="43">
        <f t="shared" si="61"/>
        <v>4.278188856182874E-2</v>
      </c>
      <c r="DC92" s="42">
        <f t="shared" si="81"/>
        <v>31664782</v>
      </c>
      <c r="DD92" s="42">
        <f t="shared" si="82"/>
        <v>0</v>
      </c>
      <c r="DE92" s="42">
        <f t="shared" si="82"/>
        <v>0</v>
      </c>
      <c r="DF92" s="42"/>
      <c r="DG92" s="42">
        <f t="shared" si="83"/>
        <v>0</v>
      </c>
      <c r="DH92" s="42">
        <f t="shared" si="83"/>
        <v>0</v>
      </c>
      <c r="DI92" s="42">
        <f t="shared" si="83"/>
        <v>0</v>
      </c>
      <c r="DJ92" s="42">
        <f t="shared" si="83"/>
        <v>0</v>
      </c>
      <c r="DK92" s="42">
        <f t="shared" si="83"/>
        <v>0</v>
      </c>
      <c r="DL92" s="42">
        <f t="shared" si="83"/>
        <v>0</v>
      </c>
      <c r="DM92" s="42">
        <f t="shared" si="83"/>
        <v>0</v>
      </c>
      <c r="DN92" s="42">
        <f t="shared" si="83"/>
        <v>0</v>
      </c>
      <c r="DO92" s="42">
        <f t="shared" si="83"/>
        <v>0</v>
      </c>
      <c r="DP92" s="42">
        <f t="shared" si="83"/>
        <v>0</v>
      </c>
      <c r="DQ92" s="42">
        <f t="shared" si="83"/>
        <v>0</v>
      </c>
      <c r="DR92" s="42">
        <f t="shared" si="83"/>
        <v>0</v>
      </c>
      <c r="DS92" s="42">
        <f t="shared" si="83"/>
        <v>0</v>
      </c>
      <c r="DT92" s="42">
        <f t="shared" si="83"/>
        <v>5800005</v>
      </c>
      <c r="DU92" s="42">
        <f t="shared" si="83"/>
        <v>665530</v>
      </c>
      <c r="DV92" s="42">
        <f t="shared" si="83"/>
        <v>0</v>
      </c>
      <c r="DW92" s="42">
        <f t="shared" si="84"/>
        <v>0</v>
      </c>
      <c r="DX92" s="42">
        <f t="shared" si="84"/>
        <v>0</v>
      </c>
      <c r="DY92" s="42"/>
      <c r="DZ92" s="42">
        <f t="shared" si="85"/>
        <v>25199247</v>
      </c>
      <c r="EB92" s="47">
        <f t="shared" si="62"/>
        <v>740144558</v>
      </c>
      <c r="EC92" s="47">
        <f t="shared" si="63"/>
        <v>740144558</v>
      </c>
      <c r="ED92" s="47">
        <f t="shared" si="64"/>
        <v>740144558</v>
      </c>
    </row>
    <row r="93" spans="1:136" ht="32.4" customHeight="1" x14ac:dyDescent="0.3">
      <c r="A93" s="106"/>
      <c r="B93" s="105"/>
      <c r="C93" s="55" t="s">
        <v>267</v>
      </c>
      <c r="D93" s="50" t="s">
        <v>268</v>
      </c>
      <c r="E93" s="40">
        <v>520</v>
      </c>
      <c r="F93" s="41" t="s">
        <v>269</v>
      </c>
      <c r="G93" s="42">
        <f t="shared" si="72"/>
        <v>6000000</v>
      </c>
      <c r="H93" s="58"/>
      <c r="I93" s="58"/>
      <c r="J93" s="58"/>
      <c r="K93" s="58"/>
      <c r="L93" s="58"/>
      <c r="M93" s="58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>
        <f>10000000-4000000</f>
        <v>6000000</v>
      </c>
      <c r="Y93" s="42"/>
      <c r="Z93" s="42"/>
      <c r="AA93" s="42"/>
      <c r="AB93" s="42"/>
      <c r="AC93" s="42"/>
      <c r="AD93" s="42"/>
      <c r="AE93" s="43">
        <f t="shared" si="86"/>
        <v>0.85833333333333328</v>
      </c>
      <c r="AF93" s="42">
        <f t="shared" si="73"/>
        <v>5150000</v>
      </c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>
        <f>+'[1]OCTUBRE 2019'!$Z$4799</f>
        <v>5150000</v>
      </c>
      <c r="AX93" s="42"/>
      <c r="AY93" s="42"/>
      <c r="AZ93" s="42"/>
      <c r="BA93" s="42"/>
      <c r="BB93" s="42"/>
      <c r="BC93" s="42"/>
      <c r="BD93" s="43">
        <f t="shared" si="59"/>
        <v>0.14166666666666672</v>
      </c>
      <c r="BE93" s="42">
        <f t="shared" si="74"/>
        <v>850000</v>
      </c>
      <c r="BF93" s="42">
        <f t="shared" si="75"/>
        <v>0</v>
      </c>
      <c r="BG93" s="42">
        <f t="shared" si="75"/>
        <v>0</v>
      </c>
      <c r="BH93" s="42">
        <f t="shared" si="75"/>
        <v>0</v>
      </c>
      <c r="BI93" s="42">
        <f t="shared" si="76"/>
        <v>0</v>
      </c>
      <c r="BJ93" s="42">
        <f t="shared" si="77"/>
        <v>0</v>
      </c>
      <c r="BK93" s="42">
        <f t="shared" si="77"/>
        <v>0</v>
      </c>
      <c r="BL93" s="42">
        <f t="shared" si="77"/>
        <v>0</v>
      </c>
      <c r="BM93" s="42">
        <f t="shared" si="77"/>
        <v>0</v>
      </c>
      <c r="BN93" s="42">
        <f t="shared" si="77"/>
        <v>0</v>
      </c>
      <c r="BO93" s="42">
        <f t="shared" si="77"/>
        <v>0</v>
      </c>
      <c r="BP93" s="42">
        <f t="shared" si="77"/>
        <v>0</v>
      </c>
      <c r="BQ93" s="42">
        <f t="shared" si="77"/>
        <v>0</v>
      </c>
      <c r="BR93" s="42">
        <f t="shared" si="77"/>
        <v>0</v>
      </c>
      <c r="BS93" s="42">
        <f t="shared" si="77"/>
        <v>0</v>
      </c>
      <c r="BT93" s="42">
        <f t="shared" si="77"/>
        <v>0</v>
      </c>
      <c r="BU93" s="42">
        <f t="shared" si="77"/>
        <v>0</v>
      </c>
      <c r="BV93" s="42">
        <f t="shared" si="77"/>
        <v>850000</v>
      </c>
      <c r="BW93" s="42">
        <f t="shared" si="77"/>
        <v>0</v>
      </c>
      <c r="BX93" s="42">
        <f t="shared" si="77"/>
        <v>0</v>
      </c>
      <c r="BY93" s="42">
        <f t="shared" si="77"/>
        <v>0</v>
      </c>
      <c r="BZ93" s="42">
        <f t="shared" si="78"/>
        <v>0</v>
      </c>
      <c r="CA93" s="42"/>
      <c r="CB93" s="42">
        <f t="shared" si="79"/>
        <v>0</v>
      </c>
      <c r="CC93" s="43">
        <f t="shared" si="60"/>
        <v>0.85833333333333328</v>
      </c>
      <c r="CD93" s="42">
        <f t="shared" si="80"/>
        <v>5150000</v>
      </c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>
        <f>+'[1]OCTUBRE 2019'!$H$4797</f>
        <v>5150000</v>
      </c>
      <c r="CV93" s="42"/>
      <c r="CW93" s="42"/>
      <c r="CX93" s="42"/>
      <c r="CY93" s="42"/>
      <c r="CZ93" s="42"/>
      <c r="DA93" s="42"/>
      <c r="DB93" s="43">
        <f t="shared" si="61"/>
        <v>0.14166666666666672</v>
      </c>
      <c r="DC93" s="42">
        <f t="shared" si="81"/>
        <v>850000</v>
      </c>
      <c r="DD93" s="42">
        <f t="shared" si="82"/>
        <v>0</v>
      </c>
      <c r="DE93" s="42">
        <f t="shared" si="82"/>
        <v>0</v>
      </c>
      <c r="DF93" s="42"/>
      <c r="DG93" s="42">
        <f t="shared" si="83"/>
        <v>0</v>
      </c>
      <c r="DH93" s="42">
        <f t="shared" si="83"/>
        <v>0</v>
      </c>
      <c r="DI93" s="42">
        <f t="shared" si="83"/>
        <v>0</v>
      </c>
      <c r="DJ93" s="42">
        <f t="shared" si="83"/>
        <v>0</v>
      </c>
      <c r="DK93" s="42">
        <f t="shared" si="83"/>
        <v>0</v>
      </c>
      <c r="DL93" s="42">
        <f t="shared" si="83"/>
        <v>0</v>
      </c>
      <c r="DM93" s="42">
        <f t="shared" si="83"/>
        <v>0</v>
      </c>
      <c r="DN93" s="42">
        <f t="shared" si="83"/>
        <v>0</v>
      </c>
      <c r="DO93" s="42">
        <f t="shared" si="83"/>
        <v>0</v>
      </c>
      <c r="DP93" s="42">
        <f t="shared" si="83"/>
        <v>0</v>
      </c>
      <c r="DQ93" s="42">
        <f t="shared" si="83"/>
        <v>0</v>
      </c>
      <c r="DR93" s="42">
        <f t="shared" si="83"/>
        <v>0</v>
      </c>
      <c r="DS93" s="42">
        <f t="shared" si="83"/>
        <v>0</v>
      </c>
      <c r="DT93" s="42">
        <f t="shared" si="83"/>
        <v>850000</v>
      </c>
      <c r="DU93" s="42">
        <f t="shared" si="83"/>
        <v>0</v>
      </c>
      <c r="DV93" s="42">
        <f t="shared" si="83"/>
        <v>0</v>
      </c>
      <c r="DW93" s="42">
        <f t="shared" si="84"/>
        <v>0</v>
      </c>
      <c r="DX93" s="42">
        <f t="shared" si="84"/>
        <v>0</v>
      </c>
      <c r="DY93" s="42"/>
      <c r="DZ93" s="42">
        <f t="shared" si="85"/>
        <v>0</v>
      </c>
      <c r="EB93" s="47">
        <f t="shared" si="62"/>
        <v>6000000</v>
      </c>
      <c r="EC93" s="47">
        <f t="shared" si="63"/>
        <v>6000000</v>
      </c>
      <c r="ED93" s="47">
        <f t="shared" si="64"/>
        <v>6000000</v>
      </c>
    </row>
    <row r="94" spans="1:136" ht="28.2" customHeight="1" x14ac:dyDescent="0.3">
      <c r="A94" s="106"/>
      <c r="B94" s="105"/>
      <c r="C94" s="55" t="s">
        <v>270</v>
      </c>
      <c r="D94" s="50" t="s">
        <v>271</v>
      </c>
      <c r="E94" s="40">
        <v>520</v>
      </c>
      <c r="F94" s="41" t="s">
        <v>139</v>
      </c>
      <c r="G94" s="42">
        <f t="shared" si="72"/>
        <v>6000000</v>
      </c>
      <c r="H94" s="58"/>
      <c r="I94" s="58"/>
      <c r="J94" s="58"/>
      <c r="K94" s="58"/>
      <c r="L94" s="58"/>
      <c r="M94" s="58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>
        <f>10000000-4000000</f>
        <v>6000000</v>
      </c>
      <c r="Y94" s="42"/>
      <c r="Z94" s="42"/>
      <c r="AA94" s="42"/>
      <c r="AB94" s="42"/>
      <c r="AC94" s="42"/>
      <c r="AD94" s="42"/>
      <c r="AE94" s="43">
        <f t="shared" si="86"/>
        <v>0.53</v>
      </c>
      <c r="AF94" s="42">
        <f t="shared" si="73"/>
        <v>3180000</v>
      </c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>
        <f>+'[1]OCTUBRE 2019'!$Z$4810</f>
        <v>3180000</v>
      </c>
      <c r="AX94" s="42"/>
      <c r="AY94" s="42"/>
      <c r="AZ94" s="42"/>
      <c r="BA94" s="42"/>
      <c r="BB94" s="42"/>
      <c r="BC94" s="42"/>
      <c r="BD94" s="43">
        <f t="shared" si="59"/>
        <v>0.47</v>
      </c>
      <c r="BE94" s="42">
        <f t="shared" si="74"/>
        <v>2820000</v>
      </c>
      <c r="BF94" s="42">
        <f t="shared" si="75"/>
        <v>0</v>
      </c>
      <c r="BG94" s="42">
        <f t="shared" si="75"/>
        <v>0</v>
      </c>
      <c r="BH94" s="42">
        <f t="shared" si="75"/>
        <v>0</v>
      </c>
      <c r="BI94" s="42">
        <f t="shared" si="76"/>
        <v>0</v>
      </c>
      <c r="BJ94" s="42">
        <f t="shared" si="77"/>
        <v>0</v>
      </c>
      <c r="BK94" s="42">
        <f t="shared" si="77"/>
        <v>0</v>
      </c>
      <c r="BL94" s="42">
        <f t="shared" si="77"/>
        <v>0</v>
      </c>
      <c r="BM94" s="42">
        <f t="shared" si="77"/>
        <v>0</v>
      </c>
      <c r="BN94" s="42">
        <f t="shared" si="77"/>
        <v>0</v>
      </c>
      <c r="BO94" s="42">
        <f t="shared" si="77"/>
        <v>0</v>
      </c>
      <c r="BP94" s="42">
        <f t="shared" si="77"/>
        <v>0</v>
      </c>
      <c r="BQ94" s="42">
        <f t="shared" si="77"/>
        <v>0</v>
      </c>
      <c r="BR94" s="42">
        <f t="shared" si="77"/>
        <v>0</v>
      </c>
      <c r="BS94" s="42">
        <f t="shared" si="77"/>
        <v>0</v>
      </c>
      <c r="BT94" s="42">
        <f t="shared" si="77"/>
        <v>0</v>
      </c>
      <c r="BU94" s="42">
        <f t="shared" si="77"/>
        <v>0</v>
      </c>
      <c r="BV94" s="42">
        <f t="shared" si="77"/>
        <v>2820000</v>
      </c>
      <c r="BW94" s="42">
        <f t="shared" si="77"/>
        <v>0</v>
      </c>
      <c r="BX94" s="42">
        <f t="shared" si="77"/>
        <v>0</v>
      </c>
      <c r="BY94" s="42">
        <f t="shared" si="77"/>
        <v>0</v>
      </c>
      <c r="BZ94" s="42">
        <f t="shared" si="78"/>
        <v>0</v>
      </c>
      <c r="CA94" s="42"/>
      <c r="CB94" s="42">
        <f t="shared" si="79"/>
        <v>0</v>
      </c>
      <c r="CC94" s="43">
        <f t="shared" si="60"/>
        <v>0.53</v>
      </c>
      <c r="CD94" s="42">
        <f t="shared" si="80"/>
        <v>3180000</v>
      </c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>
        <f>+'[1]OCTUBRE 2019'!$H$4808</f>
        <v>3180000</v>
      </c>
      <c r="CV94" s="42"/>
      <c r="CW94" s="42"/>
      <c r="CX94" s="42"/>
      <c r="CY94" s="42"/>
      <c r="CZ94" s="42"/>
      <c r="DA94" s="42"/>
      <c r="DB94" s="43">
        <f t="shared" si="61"/>
        <v>0.47</v>
      </c>
      <c r="DC94" s="42">
        <f t="shared" si="81"/>
        <v>2820000</v>
      </c>
      <c r="DD94" s="42">
        <f t="shared" si="82"/>
        <v>0</v>
      </c>
      <c r="DE94" s="42">
        <f t="shared" si="82"/>
        <v>0</v>
      </c>
      <c r="DF94" s="42"/>
      <c r="DG94" s="42">
        <f t="shared" si="83"/>
        <v>0</v>
      </c>
      <c r="DH94" s="42">
        <f t="shared" si="83"/>
        <v>0</v>
      </c>
      <c r="DI94" s="42">
        <f t="shared" si="83"/>
        <v>0</v>
      </c>
      <c r="DJ94" s="42">
        <f t="shared" si="83"/>
        <v>0</v>
      </c>
      <c r="DK94" s="42">
        <f t="shared" si="83"/>
        <v>0</v>
      </c>
      <c r="DL94" s="42">
        <f t="shared" si="83"/>
        <v>0</v>
      </c>
      <c r="DM94" s="42">
        <f t="shared" si="83"/>
        <v>0</v>
      </c>
      <c r="DN94" s="42">
        <f t="shared" si="83"/>
        <v>0</v>
      </c>
      <c r="DO94" s="42">
        <f t="shared" si="83"/>
        <v>0</v>
      </c>
      <c r="DP94" s="42">
        <f t="shared" si="83"/>
        <v>0</v>
      </c>
      <c r="DQ94" s="42">
        <f t="shared" si="83"/>
        <v>0</v>
      </c>
      <c r="DR94" s="42">
        <f t="shared" si="83"/>
        <v>0</v>
      </c>
      <c r="DS94" s="42">
        <f t="shared" si="83"/>
        <v>0</v>
      </c>
      <c r="DT94" s="42">
        <f t="shared" si="83"/>
        <v>2820000</v>
      </c>
      <c r="DU94" s="42">
        <f t="shared" si="83"/>
        <v>0</v>
      </c>
      <c r="DV94" s="42">
        <f t="shared" si="83"/>
        <v>0</v>
      </c>
      <c r="DW94" s="42">
        <f t="shared" si="84"/>
        <v>0</v>
      </c>
      <c r="DX94" s="42">
        <f t="shared" si="84"/>
        <v>0</v>
      </c>
      <c r="DY94" s="42"/>
      <c r="DZ94" s="42">
        <f t="shared" si="85"/>
        <v>0</v>
      </c>
      <c r="EB94" s="47">
        <f t="shared" si="62"/>
        <v>6000000</v>
      </c>
      <c r="EC94" s="47">
        <f t="shared" si="63"/>
        <v>6000000</v>
      </c>
      <c r="ED94" s="47">
        <f t="shared" si="64"/>
        <v>6000000</v>
      </c>
    </row>
    <row r="95" spans="1:136" ht="30.6" customHeight="1" x14ac:dyDescent="0.3">
      <c r="A95" s="106"/>
      <c r="B95" s="107"/>
      <c r="C95" s="81" t="s">
        <v>272</v>
      </c>
      <c r="D95" s="50" t="s">
        <v>273</v>
      </c>
      <c r="E95" s="79">
        <v>520</v>
      </c>
      <c r="F95" s="41" t="s">
        <v>139</v>
      </c>
      <c r="G95" s="42">
        <f t="shared" si="72"/>
        <v>260000000</v>
      </c>
      <c r="H95" s="58"/>
      <c r="I95" s="58">
        <f>100000000+150000000-20000000</f>
        <v>230000000</v>
      </c>
      <c r="J95" s="58"/>
      <c r="K95" s="58"/>
      <c r="L95" s="58"/>
      <c r="M95" s="58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>
        <v>30000000</v>
      </c>
      <c r="Z95" s="42"/>
      <c r="AA95" s="42"/>
      <c r="AB95" s="42"/>
      <c r="AC95" s="42"/>
      <c r="AD95" s="42"/>
      <c r="AE95" s="43">
        <f t="shared" si="86"/>
        <v>0.95350358461538465</v>
      </c>
      <c r="AF95" s="42">
        <f t="shared" si="73"/>
        <v>247910932</v>
      </c>
      <c r="AG95" s="42"/>
      <c r="AH95" s="42">
        <f>+'[3]NOVIEMBRE 2019'!$K$5345</f>
        <v>218312772</v>
      </c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>
        <f>+'[8]AGOSTO 2019'!$Z$3773</f>
        <v>29598160</v>
      </c>
      <c r="AY95" s="42"/>
      <c r="AZ95" s="42"/>
      <c r="BA95" s="42"/>
      <c r="BB95" s="42"/>
      <c r="BC95" s="42"/>
      <c r="BD95" s="43">
        <f t="shared" si="59"/>
        <v>4.6496415384615353E-2</v>
      </c>
      <c r="BE95" s="42">
        <f t="shared" si="74"/>
        <v>12089068</v>
      </c>
      <c r="BF95" s="42">
        <f t="shared" si="75"/>
        <v>0</v>
      </c>
      <c r="BG95" s="42">
        <f t="shared" si="75"/>
        <v>11687228</v>
      </c>
      <c r="BH95" s="42">
        <f t="shared" si="75"/>
        <v>0</v>
      </c>
      <c r="BI95" s="42">
        <f t="shared" si="76"/>
        <v>0</v>
      </c>
      <c r="BJ95" s="42">
        <f t="shared" si="77"/>
        <v>0</v>
      </c>
      <c r="BK95" s="42">
        <f t="shared" si="77"/>
        <v>0</v>
      </c>
      <c r="BL95" s="42">
        <f t="shared" si="77"/>
        <v>0</v>
      </c>
      <c r="BM95" s="42">
        <f t="shared" si="77"/>
        <v>0</v>
      </c>
      <c r="BN95" s="42">
        <f t="shared" si="77"/>
        <v>0</v>
      </c>
      <c r="BO95" s="42">
        <f t="shared" si="77"/>
        <v>0</v>
      </c>
      <c r="BP95" s="42">
        <f t="shared" si="77"/>
        <v>0</v>
      </c>
      <c r="BQ95" s="42">
        <f t="shared" si="77"/>
        <v>0</v>
      </c>
      <c r="BR95" s="42">
        <f t="shared" si="77"/>
        <v>0</v>
      </c>
      <c r="BS95" s="42">
        <f t="shared" si="77"/>
        <v>0</v>
      </c>
      <c r="BT95" s="42">
        <f t="shared" si="77"/>
        <v>0</v>
      </c>
      <c r="BU95" s="42">
        <f t="shared" si="77"/>
        <v>0</v>
      </c>
      <c r="BV95" s="42">
        <f t="shared" si="77"/>
        <v>0</v>
      </c>
      <c r="BW95" s="42">
        <f t="shared" si="77"/>
        <v>401840</v>
      </c>
      <c r="BX95" s="42">
        <f t="shared" si="77"/>
        <v>0</v>
      </c>
      <c r="BY95" s="42">
        <f t="shared" si="77"/>
        <v>0</v>
      </c>
      <c r="BZ95" s="42">
        <f t="shared" si="78"/>
        <v>0</v>
      </c>
      <c r="CA95" s="42"/>
      <c r="CB95" s="42">
        <f t="shared" si="79"/>
        <v>0</v>
      </c>
      <c r="CC95" s="43">
        <f t="shared" si="60"/>
        <v>0.84848681538461534</v>
      </c>
      <c r="CD95" s="42">
        <f t="shared" si="80"/>
        <v>220606572</v>
      </c>
      <c r="CE95" s="42"/>
      <c r="CF95" s="42">
        <f>+'[3]NOVIEMBRE 2019'!$H$5343-'[3]NOVIEMBRE 2019'!$AA$5345</f>
        <v>191008412</v>
      </c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>
        <f>+'[3]NOVIEMBRE 2019'!$AA$5345</f>
        <v>29598160</v>
      </c>
      <c r="CW95" s="42"/>
      <c r="CX95" s="42"/>
      <c r="CY95" s="42"/>
      <c r="CZ95" s="42"/>
      <c r="DA95" s="42"/>
      <c r="DB95" s="43">
        <f t="shared" si="61"/>
        <v>0.15151318461538466</v>
      </c>
      <c r="DC95" s="42">
        <f t="shared" si="81"/>
        <v>39393428</v>
      </c>
      <c r="DD95" s="42">
        <f t="shared" si="82"/>
        <v>0</v>
      </c>
      <c r="DE95" s="42">
        <f t="shared" si="82"/>
        <v>38991588</v>
      </c>
      <c r="DF95" s="42"/>
      <c r="DG95" s="42">
        <f t="shared" si="83"/>
        <v>0</v>
      </c>
      <c r="DH95" s="42">
        <f t="shared" si="83"/>
        <v>0</v>
      </c>
      <c r="DI95" s="42">
        <f t="shared" si="83"/>
        <v>0</v>
      </c>
      <c r="DJ95" s="42">
        <f t="shared" si="83"/>
        <v>0</v>
      </c>
      <c r="DK95" s="42">
        <f t="shared" si="83"/>
        <v>0</v>
      </c>
      <c r="DL95" s="42">
        <f t="shared" si="83"/>
        <v>0</v>
      </c>
      <c r="DM95" s="42">
        <f t="shared" si="83"/>
        <v>0</v>
      </c>
      <c r="DN95" s="42">
        <f t="shared" si="83"/>
        <v>0</v>
      </c>
      <c r="DO95" s="42">
        <f t="shared" si="83"/>
        <v>0</v>
      </c>
      <c r="DP95" s="42">
        <f t="shared" si="83"/>
        <v>0</v>
      </c>
      <c r="DQ95" s="42">
        <f t="shared" si="83"/>
        <v>0</v>
      </c>
      <c r="DR95" s="42">
        <f t="shared" si="83"/>
        <v>0</v>
      </c>
      <c r="DS95" s="42">
        <f t="shared" si="83"/>
        <v>0</v>
      </c>
      <c r="DT95" s="42">
        <f t="shared" si="83"/>
        <v>0</v>
      </c>
      <c r="DU95" s="42">
        <f t="shared" si="83"/>
        <v>401840</v>
      </c>
      <c r="DV95" s="42">
        <f t="shared" si="83"/>
        <v>0</v>
      </c>
      <c r="DW95" s="42">
        <f t="shared" si="84"/>
        <v>0</v>
      </c>
      <c r="DX95" s="42">
        <f t="shared" si="84"/>
        <v>0</v>
      </c>
      <c r="DY95" s="42"/>
      <c r="DZ95" s="42">
        <f t="shared" si="85"/>
        <v>0</v>
      </c>
      <c r="EB95" s="47">
        <f t="shared" si="62"/>
        <v>260000000</v>
      </c>
      <c r="EC95" s="47">
        <f t="shared" si="63"/>
        <v>260000000</v>
      </c>
      <c r="ED95" s="47">
        <f t="shared" si="64"/>
        <v>260000000</v>
      </c>
    </row>
    <row r="96" spans="1:136" ht="17.399999999999999" customHeight="1" x14ac:dyDescent="0.3">
      <c r="A96" s="94" t="s">
        <v>236</v>
      </c>
      <c r="B96" s="83" t="s">
        <v>274</v>
      </c>
      <c r="C96" s="55" t="s">
        <v>275</v>
      </c>
      <c r="D96" s="39" t="s">
        <v>276</v>
      </c>
      <c r="E96" s="40">
        <v>520</v>
      </c>
      <c r="F96" s="41" t="s">
        <v>139</v>
      </c>
      <c r="G96" s="42">
        <f t="shared" si="72"/>
        <v>40000000</v>
      </c>
      <c r="H96" s="58"/>
      <c r="I96" s="42">
        <v>25000000</v>
      </c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>
        <f>5000000+10000000</f>
        <v>15000000</v>
      </c>
      <c r="Y96" s="42"/>
      <c r="Z96" s="42"/>
      <c r="AA96" s="42"/>
      <c r="AB96" s="42"/>
      <c r="AC96" s="42"/>
      <c r="AD96" s="42"/>
      <c r="AE96" s="43">
        <f t="shared" si="86"/>
        <v>0.99999994999999997</v>
      </c>
      <c r="AF96" s="42">
        <f t="shared" si="73"/>
        <v>39999998</v>
      </c>
      <c r="AG96" s="42"/>
      <c r="AH96" s="42">
        <f>+'[4]JULIO 2019'!$K$3507</f>
        <v>24999998</v>
      </c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>
        <f>+'[8]AGOSTO 2019'!$Y$3983</f>
        <v>15000000</v>
      </c>
      <c r="AX96" s="42"/>
      <c r="AY96" s="42"/>
      <c r="AZ96" s="42"/>
      <c r="BA96" s="42"/>
      <c r="BB96" s="42"/>
      <c r="BC96" s="42"/>
      <c r="BD96" s="43">
        <f t="shared" si="59"/>
        <v>5.0000000029193359E-8</v>
      </c>
      <c r="BE96" s="42">
        <f t="shared" si="74"/>
        <v>2</v>
      </c>
      <c r="BF96" s="42">
        <f t="shared" si="75"/>
        <v>0</v>
      </c>
      <c r="BG96" s="42">
        <f t="shared" si="75"/>
        <v>2</v>
      </c>
      <c r="BH96" s="42">
        <f t="shared" si="75"/>
        <v>0</v>
      </c>
      <c r="BI96" s="42">
        <f t="shared" si="76"/>
        <v>0</v>
      </c>
      <c r="BJ96" s="42">
        <f t="shared" si="77"/>
        <v>0</v>
      </c>
      <c r="BK96" s="42">
        <f t="shared" si="77"/>
        <v>0</v>
      </c>
      <c r="BL96" s="42">
        <f t="shared" si="77"/>
        <v>0</v>
      </c>
      <c r="BM96" s="42">
        <f t="shared" si="77"/>
        <v>0</v>
      </c>
      <c r="BN96" s="42">
        <f t="shared" si="77"/>
        <v>0</v>
      </c>
      <c r="BO96" s="42">
        <f t="shared" si="77"/>
        <v>0</v>
      </c>
      <c r="BP96" s="42">
        <f t="shared" si="77"/>
        <v>0</v>
      </c>
      <c r="BQ96" s="42">
        <f t="shared" si="77"/>
        <v>0</v>
      </c>
      <c r="BR96" s="42">
        <f t="shared" si="77"/>
        <v>0</v>
      </c>
      <c r="BS96" s="42">
        <f t="shared" si="77"/>
        <v>0</v>
      </c>
      <c r="BT96" s="42">
        <f t="shared" si="77"/>
        <v>0</v>
      </c>
      <c r="BU96" s="42">
        <f t="shared" si="77"/>
        <v>0</v>
      </c>
      <c r="BV96" s="42">
        <f t="shared" si="77"/>
        <v>0</v>
      </c>
      <c r="BW96" s="42">
        <f t="shared" si="77"/>
        <v>0</v>
      </c>
      <c r="BX96" s="42">
        <f t="shared" si="77"/>
        <v>0</v>
      </c>
      <c r="BY96" s="42">
        <f t="shared" ref="BY96:BY100" si="87">AA96-AZ96</f>
        <v>0</v>
      </c>
      <c r="BZ96" s="42">
        <f t="shared" si="78"/>
        <v>0</v>
      </c>
      <c r="CA96" s="42"/>
      <c r="CB96" s="42">
        <f t="shared" si="79"/>
        <v>0</v>
      </c>
      <c r="CC96" s="43">
        <f t="shared" si="60"/>
        <v>0.99982660000000001</v>
      </c>
      <c r="CD96" s="42">
        <f t="shared" si="80"/>
        <v>39993064</v>
      </c>
      <c r="CE96" s="42"/>
      <c r="CF96" s="42">
        <f>+'[2]SEPTIEMBRE 2019'!$H$4624+'[2]SEPTIEMBRE 2019'!$H$4627</f>
        <v>24999998</v>
      </c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>
        <f>+'[2]SEPTIEMBRE 2019'!$H$4630</f>
        <v>14993066</v>
      </c>
      <c r="CV96" s="42"/>
      <c r="CW96" s="42"/>
      <c r="CX96" s="42"/>
      <c r="CY96" s="42"/>
      <c r="CZ96" s="42"/>
      <c r="DA96" s="42"/>
      <c r="DB96" s="43">
        <f t="shared" si="61"/>
        <v>1.7339999999999023E-4</v>
      </c>
      <c r="DC96" s="42">
        <f t="shared" si="81"/>
        <v>6936</v>
      </c>
      <c r="DD96" s="42">
        <f t="shared" si="82"/>
        <v>0</v>
      </c>
      <c r="DE96" s="42">
        <f t="shared" si="82"/>
        <v>2</v>
      </c>
      <c r="DF96" s="42"/>
      <c r="DG96" s="42">
        <f t="shared" si="83"/>
        <v>0</v>
      </c>
      <c r="DH96" s="42">
        <f t="shared" si="83"/>
        <v>0</v>
      </c>
      <c r="DI96" s="42">
        <f t="shared" si="83"/>
        <v>0</v>
      </c>
      <c r="DJ96" s="42">
        <f t="shared" si="83"/>
        <v>0</v>
      </c>
      <c r="DK96" s="42">
        <f t="shared" si="83"/>
        <v>0</v>
      </c>
      <c r="DL96" s="42">
        <f t="shared" si="83"/>
        <v>0</v>
      </c>
      <c r="DM96" s="42">
        <f t="shared" si="83"/>
        <v>0</v>
      </c>
      <c r="DN96" s="42">
        <f t="shared" si="83"/>
        <v>0</v>
      </c>
      <c r="DO96" s="42">
        <f t="shared" si="83"/>
        <v>0</v>
      </c>
      <c r="DP96" s="42">
        <f t="shared" si="83"/>
        <v>0</v>
      </c>
      <c r="DQ96" s="42">
        <f t="shared" si="83"/>
        <v>0</v>
      </c>
      <c r="DR96" s="42">
        <f t="shared" si="83"/>
        <v>0</v>
      </c>
      <c r="DS96" s="42">
        <f t="shared" si="83"/>
        <v>0</v>
      </c>
      <c r="DT96" s="42">
        <f t="shared" si="83"/>
        <v>6934</v>
      </c>
      <c r="DU96" s="42">
        <f t="shared" si="83"/>
        <v>0</v>
      </c>
      <c r="DV96" s="42">
        <f t="shared" ref="DV96:DV103" si="88">Z96-CW96</f>
        <v>0</v>
      </c>
      <c r="DW96" s="42">
        <f t="shared" si="84"/>
        <v>0</v>
      </c>
      <c r="DX96" s="42">
        <f t="shared" si="84"/>
        <v>0</v>
      </c>
      <c r="DY96" s="42"/>
      <c r="DZ96" s="42">
        <f t="shared" si="85"/>
        <v>0</v>
      </c>
      <c r="EB96" s="47">
        <f t="shared" si="62"/>
        <v>40000000</v>
      </c>
      <c r="EC96" s="47">
        <f t="shared" si="63"/>
        <v>40000000</v>
      </c>
      <c r="ED96" s="47">
        <f t="shared" si="64"/>
        <v>40000000</v>
      </c>
    </row>
    <row r="97" spans="1:136" ht="18" customHeight="1" x14ac:dyDescent="0.3">
      <c r="A97" s="100"/>
      <c r="B97" s="86"/>
      <c r="C97" s="55" t="s">
        <v>277</v>
      </c>
      <c r="D97" s="39" t="s">
        <v>278</v>
      </c>
      <c r="E97" s="40">
        <v>520</v>
      </c>
      <c r="F97" s="41" t="s">
        <v>139</v>
      </c>
      <c r="G97" s="42">
        <f t="shared" si="72"/>
        <v>80000000</v>
      </c>
      <c r="H97" s="58"/>
      <c r="I97" s="42">
        <v>40000000</v>
      </c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77"/>
      <c r="Y97" s="42"/>
      <c r="Z97" s="42">
        <v>40000000</v>
      </c>
      <c r="AA97" s="42"/>
      <c r="AB97" s="42"/>
      <c r="AC97" s="42"/>
      <c r="AD97" s="42"/>
      <c r="AE97" s="43">
        <f t="shared" si="86"/>
        <v>0.97737972500000003</v>
      </c>
      <c r="AF97" s="42">
        <f t="shared" si="73"/>
        <v>78190378</v>
      </c>
      <c r="AG97" s="42"/>
      <c r="AH97" s="42">
        <f>+'[6]MARZO 2019'!$K$1706</f>
        <v>39433571</v>
      </c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>
        <f>+'[3]NOVIEMBRE 2019'!$AB$5774</f>
        <v>38756807</v>
      </c>
      <c r="AZ97" s="42"/>
      <c r="BA97" s="42"/>
      <c r="BB97" s="42"/>
      <c r="BC97" s="42"/>
      <c r="BD97" s="43">
        <f t="shared" si="59"/>
        <v>2.2620274999999967E-2</v>
      </c>
      <c r="BE97" s="42">
        <f t="shared" si="74"/>
        <v>1809622</v>
      </c>
      <c r="BF97" s="42">
        <f t="shared" si="75"/>
        <v>0</v>
      </c>
      <c r="BG97" s="42">
        <f t="shared" si="75"/>
        <v>566429</v>
      </c>
      <c r="BH97" s="42">
        <f t="shared" si="75"/>
        <v>0</v>
      </c>
      <c r="BI97" s="42">
        <f t="shared" si="76"/>
        <v>0</v>
      </c>
      <c r="BJ97" s="42">
        <f t="shared" ref="BJ97:BX100" si="89">L97-AK97</f>
        <v>0</v>
      </c>
      <c r="BK97" s="42">
        <f t="shared" si="89"/>
        <v>0</v>
      </c>
      <c r="BL97" s="42">
        <f t="shared" si="89"/>
        <v>0</v>
      </c>
      <c r="BM97" s="42">
        <f t="shared" si="89"/>
        <v>0</v>
      </c>
      <c r="BN97" s="42">
        <f t="shared" si="89"/>
        <v>0</v>
      </c>
      <c r="BO97" s="42">
        <f t="shared" si="89"/>
        <v>0</v>
      </c>
      <c r="BP97" s="42">
        <f t="shared" si="89"/>
        <v>0</v>
      </c>
      <c r="BQ97" s="42">
        <f t="shared" si="89"/>
        <v>0</v>
      </c>
      <c r="BR97" s="42">
        <f t="shared" si="89"/>
        <v>0</v>
      </c>
      <c r="BS97" s="42">
        <f t="shared" si="89"/>
        <v>0</v>
      </c>
      <c r="BT97" s="42">
        <f t="shared" si="89"/>
        <v>0</v>
      </c>
      <c r="BU97" s="42">
        <f t="shared" si="89"/>
        <v>0</v>
      </c>
      <c r="BV97" s="42">
        <f t="shared" si="89"/>
        <v>0</v>
      </c>
      <c r="BW97" s="42">
        <f t="shared" si="89"/>
        <v>0</v>
      </c>
      <c r="BX97" s="42">
        <f t="shared" si="89"/>
        <v>1243193</v>
      </c>
      <c r="BY97" s="42">
        <f t="shared" si="87"/>
        <v>0</v>
      </c>
      <c r="BZ97" s="42">
        <f t="shared" si="78"/>
        <v>0</v>
      </c>
      <c r="CA97" s="42"/>
      <c r="CB97" s="42">
        <f t="shared" si="79"/>
        <v>0</v>
      </c>
      <c r="CC97" s="43">
        <f t="shared" si="60"/>
        <v>0.97737972500000003</v>
      </c>
      <c r="CD97" s="42">
        <f t="shared" si="80"/>
        <v>78190378</v>
      </c>
      <c r="CE97" s="42"/>
      <c r="CF97" s="42">
        <f>+'[3]NOVIEMBRE 2019'!$H$5775+'[3]NOVIEMBRE 2019'!$H$5780+'[3]NOVIEMBRE 2019'!$H$5782+'[3]NOVIEMBRE 2019'!$H$5783</f>
        <v>39433571</v>
      </c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>
        <f>+'[3]NOVIEMBRE 2019'!$H$5772-CF97</f>
        <v>38756807</v>
      </c>
      <c r="CX97" s="42"/>
      <c r="CY97" s="42"/>
      <c r="CZ97" s="42"/>
      <c r="DA97" s="42"/>
      <c r="DB97" s="43">
        <f t="shared" si="61"/>
        <v>2.2620274999999967E-2</v>
      </c>
      <c r="DC97" s="42">
        <f t="shared" si="81"/>
        <v>1809622</v>
      </c>
      <c r="DD97" s="42">
        <f t="shared" si="82"/>
        <v>0</v>
      </c>
      <c r="DE97" s="42">
        <f t="shared" si="82"/>
        <v>566429</v>
      </c>
      <c r="DF97" s="42"/>
      <c r="DG97" s="42">
        <f t="shared" ref="DG97:DU103" si="90">K97-CH97</f>
        <v>0</v>
      </c>
      <c r="DH97" s="42">
        <f t="shared" si="90"/>
        <v>0</v>
      </c>
      <c r="DI97" s="42">
        <f t="shared" si="90"/>
        <v>0</v>
      </c>
      <c r="DJ97" s="42">
        <f t="shared" si="90"/>
        <v>0</v>
      </c>
      <c r="DK97" s="42">
        <f t="shared" si="90"/>
        <v>0</v>
      </c>
      <c r="DL97" s="42">
        <f t="shared" si="90"/>
        <v>0</v>
      </c>
      <c r="DM97" s="42">
        <f t="shared" si="90"/>
        <v>0</v>
      </c>
      <c r="DN97" s="42">
        <f t="shared" si="90"/>
        <v>0</v>
      </c>
      <c r="DO97" s="42">
        <f t="shared" si="90"/>
        <v>0</v>
      </c>
      <c r="DP97" s="42">
        <f t="shared" si="90"/>
        <v>0</v>
      </c>
      <c r="DQ97" s="42">
        <f t="shared" si="90"/>
        <v>0</v>
      </c>
      <c r="DR97" s="42">
        <f t="shared" si="90"/>
        <v>0</v>
      </c>
      <c r="DS97" s="42">
        <f t="shared" si="90"/>
        <v>0</v>
      </c>
      <c r="DT97" s="42">
        <f t="shared" si="90"/>
        <v>0</v>
      </c>
      <c r="DU97" s="42">
        <f t="shared" si="90"/>
        <v>0</v>
      </c>
      <c r="DV97" s="42">
        <f t="shared" si="88"/>
        <v>1243193</v>
      </c>
      <c r="DW97" s="42">
        <f t="shared" si="84"/>
        <v>0</v>
      </c>
      <c r="DX97" s="42">
        <f t="shared" si="84"/>
        <v>0</v>
      </c>
      <c r="DY97" s="42"/>
      <c r="DZ97" s="42">
        <f t="shared" si="85"/>
        <v>0</v>
      </c>
      <c r="EB97" s="47">
        <f t="shared" si="62"/>
        <v>80000000</v>
      </c>
      <c r="EC97" s="47">
        <f t="shared" si="63"/>
        <v>80000000</v>
      </c>
      <c r="ED97" s="47">
        <f t="shared" si="64"/>
        <v>80000000</v>
      </c>
    </row>
    <row r="98" spans="1:136" ht="29.4" customHeight="1" x14ac:dyDescent="0.3">
      <c r="A98" s="100"/>
      <c r="B98" s="108" t="s">
        <v>279</v>
      </c>
      <c r="C98" s="55" t="s">
        <v>280</v>
      </c>
      <c r="D98" s="39" t="s">
        <v>281</v>
      </c>
      <c r="E98" s="40">
        <v>520</v>
      </c>
      <c r="F98" s="41" t="s">
        <v>139</v>
      </c>
      <c r="G98" s="42">
        <f t="shared" si="72"/>
        <v>15000000</v>
      </c>
      <c r="H98" s="58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77">
        <v>15000000</v>
      </c>
      <c r="Y98" s="42"/>
      <c r="Z98" s="42"/>
      <c r="AA98" s="42"/>
      <c r="AB98" s="42"/>
      <c r="AC98" s="42"/>
      <c r="AD98" s="42"/>
      <c r="AE98" s="43">
        <f t="shared" si="86"/>
        <v>0.73333333333333328</v>
      </c>
      <c r="AF98" s="42">
        <f t="shared" si="73"/>
        <v>11000000</v>
      </c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>
        <f>+'[4]JULIO 2019'!$Y$3535</f>
        <v>11000000</v>
      </c>
      <c r="AX98" s="42"/>
      <c r="AY98" s="42"/>
      <c r="AZ98" s="42"/>
      <c r="BA98" s="42"/>
      <c r="BB98" s="42"/>
      <c r="BC98" s="42"/>
      <c r="BD98" s="43">
        <f t="shared" si="59"/>
        <v>0.26666666666666672</v>
      </c>
      <c r="BE98" s="42">
        <f t="shared" si="74"/>
        <v>4000000</v>
      </c>
      <c r="BF98" s="42">
        <f t="shared" si="75"/>
        <v>0</v>
      </c>
      <c r="BG98" s="42">
        <f t="shared" si="75"/>
        <v>0</v>
      </c>
      <c r="BH98" s="42">
        <f t="shared" si="75"/>
        <v>0</v>
      </c>
      <c r="BI98" s="42">
        <f t="shared" si="76"/>
        <v>0</v>
      </c>
      <c r="BJ98" s="42">
        <f t="shared" si="89"/>
        <v>0</v>
      </c>
      <c r="BK98" s="42">
        <f t="shared" si="89"/>
        <v>0</v>
      </c>
      <c r="BL98" s="42">
        <f t="shared" si="89"/>
        <v>0</v>
      </c>
      <c r="BM98" s="42">
        <f t="shared" si="89"/>
        <v>0</v>
      </c>
      <c r="BN98" s="42">
        <f t="shared" si="89"/>
        <v>0</v>
      </c>
      <c r="BO98" s="42">
        <f t="shared" si="89"/>
        <v>0</v>
      </c>
      <c r="BP98" s="42">
        <f t="shared" si="89"/>
        <v>0</v>
      </c>
      <c r="BQ98" s="42">
        <f t="shared" si="89"/>
        <v>0</v>
      </c>
      <c r="BR98" s="42">
        <f t="shared" si="89"/>
        <v>0</v>
      </c>
      <c r="BS98" s="42">
        <f t="shared" si="89"/>
        <v>0</v>
      </c>
      <c r="BT98" s="42">
        <f t="shared" si="89"/>
        <v>0</v>
      </c>
      <c r="BU98" s="42">
        <f t="shared" si="89"/>
        <v>0</v>
      </c>
      <c r="BV98" s="42">
        <f t="shared" si="89"/>
        <v>4000000</v>
      </c>
      <c r="BW98" s="42">
        <f t="shared" si="89"/>
        <v>0</v>
      </c>
      <c r="BX98" s="42">
        <f t="shared" si="89"/>
        <v>0</v>
      </c>
      <c r="BY98" s="42">
        <f t="shared" si="87"/>
        <v>0</v>
      </c>
      <c r="BZ98" s="42">
        <f t="shared" si="78"/>
        <v>0</v>
      </c>
      <c r="CA98" s="42"/>
      <c r="CB98" s="42">
        <f t="shared" si="79"/>
        <v>0</v>
      </c>
      <c r="CC98" s="43">
        <f t="shared" si="60"/>
        <v>0.73333333333333328</v>
      </c>
      <c r="CD98" s="42">
        <f t="shared" si="80"/>
        <v>11000000</v>
      </c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>
        <f>+'[4]JULIO 2019'!$H$3533</f>
        <v>11000000</v>
      </c>
      <c r="CV98" s="42"/>
      <c r="CW98" s="42"/>
      <c r="CX98" s="42"/>
      <c r="CY98" s="42"/>
      <c r="CZ98" s="42"/>
      <c r="DA98" s="42"/>
      <c r="DB98" s="43">
        <f t="shared" si="61"/>
        <v>0.26666666666666672</v>
      </c>
      <c r="DC98" s="42">
        <f t="shared" si="81"/>
        <v>4000000</v>
      </c>
      <c r="DD98" s="42">
        <f t="shared" si="82"/>
        <v>0</v>
      </c>
      <c r="DE98" s="42">
        <f t="shared" si="82"/>
        <v>0</v>
      </c>
      <c r="DF98" s="42"/>
      <c r="DG98" s="42">
        <f t="shared" si="90"/>
        <v>0</v>
      </c>
      <c r="DH98" s="42">
        <f t="shared" si="90"/>
        <v>0</v>
      </c>
      <c r="DI98" s="42">
        <f t="shared" si="90"/>
        <v>0</v>
      </c>
      <c r="DJ98" s="42">
        <f t="shared" si="90"/>
        <v>0</v>
      </c>
      <c r="DK98" s="42">
        <f t="shared" si="90"/>
        <v>0</v>
      </c>
      <c r="DL98" s="42">
        <f t="shared" si="90"/>
        <v>0</v>
      </c>
      <c r="DM98" s="42">
        <f t="shared" si="90"/>
        <v>0</v>
      </c>
      <c r="DN98" s="42">
        <f t="shared" si="90"/>
        <v>0</v>
      </c>
      <c r="DO98" s="42">
        <f t="shared" si="90"/>
        <v>0</v>
      </c>
      <c r="DP98" s="42">
        <f t="shared" si="90"/>
        <v>0</v>
      </c>
      <c r="DQ98" s="42">
        <f t="shared" si="90"/>
        <v>0</v>
      </c>
      <c r="DR98" s="42">
        <f t="shared" si="90"/>
        <v>0</v>
      </c>
      <c r="DS98" s="42">
        <f t="shared" si="90"/>
        <v>0</v>
      </c>
      <c r="DT98" s="42">
        <f t="shared" si="90"/>
        <v>4000000</v>
      </c>
      <c r="DU98" s="42">
        <f t="shared" si="90"/>
        <v>0</v>
      </c>
      <c r="DV98" s="42">
        <f t="shared" si="88"/>
        <v>0</v>
      </c>
      <c r="DW98" s="42">
        <f t="shared" si="84"/>
        <v>0</v>
      </c>
      <c r="DX98" s="42">
        <f t="shared" si="84"/>
        <v>0</v>
      </c>
      <c r="DY98" s="42"/>
      <c r="DZ98" s="42">
        <f t="shared" si="85"/>
        <v>0</v>
      </c>
      <c r="EB98" s="47">
        <f t="shared" si="62"/>
        <v>15000000</v>
      </c>
      <c r="EC98" s="47">
        <f t="shared" si="63"/>
        <v>15000000</v>
      </c>
      <c r="ED98" s="47">
        <f t="shared" si="64"/>
        <v>15000000</v>
      </c>
    </row>
    <row r="99" spans="1:136" ht="19.8" customHeight="1" x14ac:dyDescent="0.3">
      <c r="A99" s="100"/>
      <c r="B99" s="109" t="s">
        <v>282</v>
      </c>
      <c r="C99" s="55" t="s">
        <v>283</v>
      </c>
      <c r="D99" s="108" t="s">
        <v>284</v>
      </c>
      <c r="E99" s="40">
        <v>520</v>
      </c>
      <c r="F99" s="110" t="s">
        <v>139</v>
      </c>
      <c r="G99" s="42">
        <f t="shared" si="72"/>
        <v>50000000</v>
      </c>
      <c r="H99" s="58"/>
      <c r="I99" s="42">
        <v>50000000</v>
      </c>
      <c r="J99" s="77"/>
      <c r="K99" s="77"/>
      <c r="L99" s="111"/>
      <c r="M99" s="77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77"/>
      <c r="Y99" s="42"/>
      <c r="Z99" s="42"/>
      <c r="AA99" s="58"/>
      <c r="AB99" s="58"/>
      <c r="AC99" s="58"/>
      <c r="AD99" s="112"/>
      <c r="AE99" s="43">
        <f t="shared" si="86"/>
        <v>0.96937519999999999</v>
      </c>
      <c r="AF99" s="42">
        <f t="shared" si="73"/>
        <v>48468760</v>
      </c>
      <c r="AG99" s="42"/>
      <c r="AH99" s="42">
        <f>+'[3]NOVIEMBRE 2019'!$K$5817</f>
        <v>48468760</v>
      </c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3">
        <f t="shared" si="59"/>
        <v>3.0624800000000008E-2</v>
      </c>
      <c r="BE99" s="42">
        <f t="shared" si="74"/>
        <v>1531240</v>
      </c>
      <c r="BF99" s="42">
        <f t="shared" si="75"/>
        <v>0</v>
      </c>
      <c r="BG99" s="42">
        <f t="shared" si="75"/>
        <v>1531240</v>
      </c>
      <c r="BH99" s="42">
        <f t="shared" si="75"/>
        <v>0</v>
      </c>
      <c r="BI99" s="42">
        <f t="shared" si="76"/>
        <v>0</v>
      </c>
      <c r="BJ99" s="42">
        <f t="shared" si="89"/>
        <v>0</v>
      </c>
      <c r="BK99" s="42">
        <f t="shared" si="89"/>
        <v>0</v>
      </c>
      <c r="BL99" s="42">
        <f t="shared" si="89"/>
        <v>0</v>
      </c>
      <c r="BM99" s="42">
        <f t="shared" si="89"/>
        <v>0</v>
      </c>
      <c r="BN99" s="42">
        <f t="shared" si="89"/>
        <v>0</v>
      </c>
      <c r="BO99" s="42">
        <f t="shared" si="89"/>
        <v>0</v>
      </c>
      <c r="BP99" s="42">
        <f t="shared" si="89"/>
        <v>0</v>
      </c>
      <c r="BQ99" s="42">
        <f t="shared" si="89"/>
        <v>0</v>
      </c>
      <c r="BR99" s="42">
        <f t="shared" si="89"/>
        <v>0</v>
      </c>
      <c r="BS99" s="42">
        <f t="shared" si="89"/>
        <v>0</v>
      </c>
      <c r="BT99" s="42">
        <f t="shared" si="89"/>
        <v>0</v>
      </c>
      <c r="BU99" s="42">
        <f t="shared" si="89"/>
        <v>0</v>
      </c>
      <c r="BV99" s="42">
        <f t="shared" si="89"/>
        <v>0</v>
      </c>
      <c r="BW99" s="42">
        <f t="shared" si="89"/>
        <v>0</v>
      </c>
      <c r="BX99" s="42">
        <f t="shared" si="89"/>
        <v>0</v>
      </c>
      <c r="BY99" s="42">
        <f t="shared" si="87"/>
        <v>0</v>
      </c>
      <c r="BZ99" s="42">
        <f t="shared" si="78"/>
        <v>0</v>
      </c>
      <c r="CA99" s="42"/>
      <c r="CB99" s="42">
        <f t="shared" si="79"/>
        <v>0</v>
      </c>
      <c r="CC99" s="43">
        <f t="shared" si="60"/>
        <v>0.96937519999999999</v>
      </c>
      <c r="CD99" s="42">
        <f t="shared" si="80"/>
        <v>48468760</v>
      </c>
      <c r="CE99" s="42"/>
      <c r="CF99" s="42">
        <f>+'[3]NOVIEMBRE 2019'!$H$5815</f>
        <v>48468760</v>
      </c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3">
        <f t="shared" si="61"/>
        <v>3.0624800000000008E-2</v>
      </c>
      <c r="DC99" s="42">
        <f t="shared" si="81"/>
        <v>1531240</v>
      </c>
      <c r="DD99" s="42">
        <f t="shared" si="82"/>
        <v>0</v>
      </c>
      <c r="DE99" s="42">
        <f t="shared" si="82"/>
        <v>1531240</v>
      </c>
      <c r="DF99" s="42"/>
      <c r="DG99" s="42">
        <f t="shared" si="90"/>
        <v>0</v>
      </c>
      <c r="DH99" s="42">
        <f t="shared" si="90"/>
        <v>0</v>
      </c>
      <c r="DI99" s="42">
        <f t="shared" si="90"/>
        <v>0</v>
      </c>
      <c r="DJ99" s="42">
        <f t="shared" si="90"/>
        <v>0</v>
      </c>
      <c r="DK99" s="42">
        <f t="shared" si="90"/>
        <v>0</v>
      </c>
      <c r="DL99" s="42">
        <f t="shared" si="90"/>
        <v>0</v>
      </c>
      <c r="DM99" s="42">
        <f t="shared" si="90"/>
        <v>0</v>
      </c>
      <c r="DN99" s="42">
        <f t="shared" si="90"/>
        <v>0</v>
      </c>
      <c r="DO99" s="42">
        <f t="shared" si="90"/>
        <v>0</v>
      </c>
      <c r="DP99" s="42">
        <f t="shared" si="90"/>
        <v>0</v>
      </c>
      <c r="DQ99" s="42">
        <f t="shared" si="90"/>
        <v>0</v>
      </c>
      <c r="DR99" s="42">
        <f t="shared" si="90"/>
        <v>0</v>
      </c>
      <c r="DS99" s="42">
        <f t="shared" si="90"/>
        <v>0</v>
      </c>
      <c r="DT99" s="42">
        <f t="shared" si="90"/>
        <v>0</v>
      </c>
      <c r="DU99" s="42">
        <f t="shared" si="90"/>
        <v>0</v>
      </c>
      <c r="DV99" s="42">
        <f t="shared" si="88"/>
        <v>0</v>
      </c>
      <c r="DW99" s="42">
        <f t="shared" si="84"/>
        <v>0</v>
      </c>
      <c r="DX99" s="42">
        <f t="shared" si="84"/>
        <v>0</v>
      </c>
      <c r="DY99" s="42"/>
      <c r="DZ99" s="42">
        <f t="shared" si="85"/>
        <v>0</v>
      </c>
      <c r="EB99" s="47">
        <f t="shared" si="62"/>
        <v>50000000</v>
      </c>
      <c r="EC99" s="47">
        <f t="shared" si="63"/>
        <v>50000000</v>
      </c>
      <c r="ED99" s="47">
        <f t="shared" si="64"/>
        <v>50000000</v>
      </c>
    </row>
    <row r="100" spans="1:136" s="117" customFormat="1" ht="22.8" customHeight="1" x14ac:dyDescent="0.3">
      <c r="A100" s="100" t="s">
        <v>236</v>
      </c>
      <c r="B100" s="83" t="s">
        <v>285</v>
      </c>
      <c r="C100" s="113" t="s">
        <v>286</v>
      </c>
      <c r="D100" s="39" t="s">
        <v>287</v>
      </c>
      <c r="E100" s="114">
        <v>520</v>
      </c>
      <c r="F100" s="110" t="s">
        <v>139</v>
      </c>
      <c r="G100" s="42">
        <f t="shared" si="72"/>
        <v>0</v>
      </c>
      <c r="H100" s="58"/>
      <c r="I100" s="42"/>
      <c r="J100" s="42"/>
      <c r="K100" s="42"/>
      <c r="L100" s="58"/>
      <c r="M100" s="42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77">
        <f>5000000-5000000</f>
        <v>0</v>
      </c>
      <c r="Y100" s="42"/>
      <c r="Z100" s="42"/>
      <c r="AA100" s="42"/>
      <c r="AB100" s="42"/>
      <c r="AC100" s="42"/>
      <c r="AD100" s="42"/>
      <c r="AE100" s="115" t="e">
        <f t="shared" si="86"/>
        <v>#DIV/0!</v>
      </c>
      <c r="AF100" s="42">
        <f t="shared" si="73"/>
        <v>0</v>
      </c>
      <c r="AG100" s="116"/>
      <c r="AH100" s="116"/>
      <c r="AI100" s="116"/>
      <c r="AJ100" s="116"/>
      <c r="AK100" s="116"/>
      <c r="AL100" s="116"/>
      <c r="AM100" s="42"/>
      <c r="AN100" s="116"/>
      <c r="AO100" s="116"/>
      <c r="AP100" s="116"/>
      <c r="AQ100" s="116"/>
      <c r="AR100" s="116"/>
      <c r="AS100" s="116"/>
      <c r="AT100" s="116"/>
      <c r="AU100" s="116"/>
      <c r="AV100" s="116"/>
      <c r="AW100" s="116"/>
      <c r="AX100" s="116"/>
      <c r="AY100" s="116"/>
      <c r="AZ100" s="116"/>
      <c r="BA100" s="116"/>
      <c r="BB100" s="116"/>
      <c r="BC100" s="116"/>
      <c r="BD100" s="115" t="e">
        <f t="shared" si="59"/>
        <v>#DIV/0!</v>
      </c>
      <c r="BE100" s="42">
        <f t="shared" si="74"/>
        <v>0</v>
      </c>
      <c r="BF100" s="42">
        <f t="shared" si="75"/>
        <v>0</v>
      </c>
      <c r="BG100" s="42">
        <f t="shared" si="75"/>
        <v>0</v>
      </c>
      <c r="BH100" s="42">
        <f t="shared" si="75"/>
        <v>0</v>
      </c>
      <c r="BI100" s="42">
        <f t="shared" si="76"/>
        <v>0</v>
      </c>
      <c r="BJ100" s="42">
        <f t="shared" si="89"/>
        <v>0</v>
      </c>
      <c r="BK100" s="42">
        <f t="shared" si="89"/>
        <v>0</v>
      </c>
      <c r="BL100" s="42">
        <f t="shared" si="89"/>
        <v>0</v>
      </c>
      <c r="BM100" s="42">
        <f t="shared" si="89"/>
        <v>0</v>
      </c>
      <c r="BN100" s="42">
        <f t="shared" si="89"/>
        <v>0</v>
      </c>
      <c r="BO100" s="42">
        <f t="shared" si="89"/>
        <v>0</v>
      </c>
      <c r="BP100" s="42">
        <f t="shared" si="89"/>
        <v>0</v>
      </c>
      <c r="BQ100" s="42">
        <f t="shared" si="89"/>
        <v>0</v>
      </c>
      <c r="BR100" s="42">
        <f t="shared" si="89"/>
        <v>0</v>
      </c>
      <c r="BS100" s="42">
        <f t="shared" si="89"/>
        <v>0</v>
      </c>
      <c r="BT100" s="42">
        <f t="shared" si="89"/>
        <v>0</v>
      </c>
      <c r="BU100" s="42">
        <f t="shared" si="89"/>
        <v>0</v>
      </c>
      <c r="BV100" s="42">
        <f t="shared" si="89"/>
        <v>0</v>
      </c>
      <c r="BW100" s="42">
        <f t="shared" si="89"/>
        <v>0</v>
      </c>
      <c r="BX100" s="42">
        <f t="shared" si="89"/>
        <v>0</v>
      </c>
      <c r="BY100" s="42">
        <f t="shared" si="87"/>
        <v>0</v>
      </c>
      <c r="BZ100" s="42">
        <f t="shared" si="78"/>
        <v>0</v>
      </c>
      <c r="CA100" s="42"/>
      <c r="CB100" s="42">
        <f t="shared" si="79"/>
        <v>0</v>
      </c>
      <c r="CC100" s="115" t="e">
        <f t="shared" si="60"/>
        <v>#DIV/0!</v>
      </c>
      <c r="CD100" s="42">
        <f t="shared" si="80"/>
        <v>0</v>
      </c>
      <c r="CE100" s="116"/>
      <c r="CF100" s="116"/>
      <c r="CG100" s="116"/>
      <c r="CH100" s="116"/>
      <c r="CI100" s="116"/>
      <c r="CJ100" s="116"/>
      <c r="CK100" s="116"/>
      <c r="CL100" s="116"/>
      <c r="CM100" s="116"/>
      <c r="CN100" s="116"/>
      <c r="CO100" s="116"/>
      <c r="CP100" s="116"/>
      <c r="CQ100" s="116"/>
      <c r="CR100" s="116"/>
      <c r="CS100" s="116"/>
      <c r="CT100" s="116"/>
      <c r="CU100" s="116"/>
      <c r="CV100" s="116"/>
      <c r="CW100" s="116"/>
      <c r="CX100" s="116"/>
      <c r="CY100" s="116"/>
      <c r="CZ100" s="116"/>
      <c r="DA100" s="116"/>
      <c r="DB100" s="115" t="e">
        <f t="shared" si="61"/>
        <v>#DIV/0!</v>
      </c>
      <c r="DC100" s="42">
        <f t="shared" si="81"/>
        <v>0</v>
      </c>
      <c r="DD100" s="42">
        <f t="shared" si="82"/>
        <v>0</v>
      </c>
      <c r="DE100" s="42">
        <f t="shared" si="82"/>
        <v>0</v>
      </c>
      <c r="DF100" s="42"/>
      <c r="DG100" s="42">
        <f t="shared" si="90"/>
        <v>0</v>
      </c>
      <c r="DH100" s="42">
        <f t="shared" si="90"/>
        <v>0</v>
      </c>
      <c r="DI100" s="42">
        <f t="shared" si="90"/>
        <v>0</v>
      </c>
      <c r="DJ100" s="42">
        <f t="shared" si="90"/>
        <v>0</v>
      </c>
      <c r="DK100" s="42">
        <f t="shared" si="90"/>
        <v>0</v>
      </c>
      <c r="DL100" s="42">
        <f t="shared" si="90"/>
        <v>0</v>
      </c>
      <c r="DM100" s="42">
        <f t="shared" si="90"/>
        <v>0</v>
      </c>
      <c r="DN100" s="42">
        <f t="shared" si="90"/>
        <v>0</v>
      </c>
      <c r="DO100" s="42">
        <f t="shared" si="90"/>
        <v>0</v>
      </c>
      <c r="DP100" s="42">
        <f t="shared" si="90"/>
        <v>0</v>
      </c>
      <c r="DQ100" s="42">
        <f t="shared" si="90"/>
        <v>0</v>
      </c>
      <c r="DR100" s="42">
        <f t="shared" si="90"/>
        <v>0</v>
      </c>
      <c r="DS100" s="42">
        <f t="shared" si="90"/>
        <v>0</v>
      </c>
      <c r="DT100" s="42">
        <f t="shared" si="90"/>
        <v>0</v>
      </c>
      <c r="DU100" s="42">
        <f t="shared" si="90"/>
        <v>0</v>
      </c>
      <c r="DV100" s="42">
        <f t="shared" si="88"/>
        <v>0</v>
      </c>
      <c r="DW100" s="42">
        <f t="shared" si="84"/>
        <v>0</v>
      </c>
      <c r="DX100" s="42">
        <f t="shared" si="84"/>
        <v>0</v>
      </c>
      <c r="DY100" s="42"/>
      <c r="DZ100" s="42">
        <f t="shared" si="85"/>
        <v>0</v>
      </c>
      <c r="EB100" s="47">
        <f t="shared" si="62"/>
        <v>0</v>
      </c>
      <c r="EC100" s="47">
        <f t="shared" si="63"/>
        <v>0</v>
      </c>
      <c r="ED100" s="47">
        <f t="shared" si="64"/>
        <v>0</v>
      </c>
    </row>
    <row r="101" spans="1:136" s="117" customFormat="1" ht="45.6" customHeight="1" x14ac:dyDescent="0.3">
      <c r="A101" s="100"/>
      <c r="B101" s="86"/>
      <c r="C101" s="113" t="s">
        <v>288</v>
      </c>
      <c r="D101" s="39" t="s">
        <v>289</v>
      </c>
      <c r="E101" s="114">
        <v>520</v>
      </c>
      <c r="F101" s="110" t="s">
        <v>139</v>
      </c>
      <c r="G101" s="42">
        <f t="shared" si="72"/>
        <v>114000000</v>
      </c>
      <c r="H101" s="58"/>
      <c r="I101" s="42"/>
      <c r="J101" s="77"/>
      <c r="K101" s="42">
        <v>114000000</v>
      </c>
      <c r="L101" s="111"/>
      <c r="M101" s="77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77">
        <f>10000000-10000000</f>
        <v>0</v>
      </c>
      <c r="Y101" s="42"/>
      <c r="Z101" s="42"/>
      <c r="AA101" s="42"/>
      <c r="AB101" s="42"/>
      <c r="AC101" s="42"/>
      <c r="AD101" s="42"/>
      <c r="AE101" s="115">
        <f t="shared" si="86"/>
        <v>1</v>
      </c>
      <c r="AF101" s="42">
        <f t="shared" si="73"/>
        <v>114000000</v>
      </c>
      <c r="AG101" s="116"/>
      <c r="AH101" s="116"/>
      <c r="AI101" s="116"/>
      <c r="AJ101" s="116">
        <f>+'[3]NOVIEMBRE 2019'!$L$5838</f>
        <v>114000000</v>
      </c>
      <c r="AK101" s="116"/>
      <c r="AL101" s="116"/>
      <c r="AM101" s="42"/>
      <c r="AN101" s="116"/>
      <c r="AO101" s="116"/>
      <c r="AP101" s="116"/>
      <c r="AQ101" s="116"/>
      <c r="AR101" s="116"/>
      <c r="AS101" s="116"/>
      <c r="AT101" s="116"/>
      <c r="AU101" s="116"/>
      <c r="AV101" s="116"/>
      <c r="AW101" s="116"/>
      <c r="AX101" s="116"/>
      <c r="AY101" s="116"/>
      <c r="AZ101" s="116"/>
      <c r="BA101" s="116"/>
      <c r="BB101" s="116"/>
      <c r="BC101" s="116"/>
      <c r="BD101" s="115">
        <f t="shared" si="59"/>
        <v>0</v>
      </c>
      <c r="BE101" s="42">
        <f t="shared" si="74"/>
        <v>0</v>
      </c>
      <c r="BF101" s="42"/>
      <c r="BG101" s="42"/>
      <c r="BH101" s="42"/>
      <c r="BI101" s="42">
        <f t="shared" si="76"/>
        <v>0</v>
      </c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>
        <f>X101-AW101</f>
        <v>0</v>
      </c>
      <c r="BW101" s="42"/>
      <c r="BX101" s="42"/>
      <c r="BY101" s="42"/>
      <c r="BZ101" s="42"/>
      <c r="CA101" s="42"/>
      <c r="CB101" s="42"/>
      <c r="CC101" s="115">
        <f t="shared" si="60"/>
        <v>0</v>
      </c>
      <c r="CD101" s="42">
        <f t="shared" si="80"/>
        <v>0</v>
      </c>
      <c r="CE101" s="116"/>
      <c r="CF101" s="116"/>
      <c r="CG101" s="116"/>
      <c r="CH101" s="116"/>
      <c r="CI101" s="116"/>
      <c r="CJ101" s="116"/>
      <c r="CK101" s="116"/>
      <c r="CL101" s="116"/>
      <c r="CM101" s="116"/>
      <c r="CN101" s="116"/>
      <c r="CO101" s="116"/>
      <c r="CP101" s="116"/>
      <c r="CQ101" s="116"/>
      <c r="CR101" s="116"/>
      <c r="CS101" s="116"/>
      <c r="CT101" s="116"/>
      <c r="CU101" s="116"/>
      <c r="CV101" s="116"/>
      <c r="CW101" s="116"/>
      <c r="CX101" s="116"/>
      <c r="CY101" s="116"/>
      <c r="CZ101" s="116"/>
      <c r="DA101" s="116"/>
      <c r="DB101" s="115">
        <f t="shared" si="61"/>
        <v>1</v>
      </c>
      <c r="DC101" s="42">
        <f t="shared" si="81"/>
        <v>114000000</v>
      </c>
      <c r="DD101" s="42">
        <f t="shared" si="82"/>
        <v>0</v>
      </c>
      <c r="DE101" s="42">
        <f t="shared" si="82"/>
        <v>0</v>
      </c>
      <c r="DF101" s="42"/>
      <c r="DG101" s="42">
        <f t="shared" si="90"/>
        <v>114000000</v>
      </c>
      <c r="DH101" s="42">
        <f t="shared" si="90"/>
        <v>0</v>
      </c>
      <c r="DI101" s="42">
        <f t="shared" si="90"/>
        <v>0</v>
      </c>
      <c r="DJ101" s="42">
        <f t="shared" si="90"/>
        <v>0</v>
      </c>
      <c r="DK101" s="42">
        <f t="shared" si="90"/>
        <v>0</v>
      </c>
      <c r="DL101" s="42">
        <f t="shared" si="90"/>
        <v>0</v>
      </c>
      <c r="DM101" s="42">
        <f t="shared" si="90"/>
        <v>0</v>
      </c>
      <c r="DN101" s="42">
        <f t="shared" si="90"/>
        <v>0</v>
      </c>
      <c r="DO101" s="42">
        <f t="shared" si="90"/>
        <v>0</v>
      </c>
      <c r="DP101" s="42">
        <f t="shared" si="90"/>
        <v>0</v>
      </c>
      <c r="DQ101" s="42">
        <f t="shared" si="90"/>
        <v>0</v>
      </c>
      <c r="DR101" s="42">
        <f t="shared" si="90"/>
        <v>0</v>
      </c>
      <c r="DS101" s="42">
        <f t="shared" si="90"/>
        <v>0</v>
      </c>
      <c r="DT101" s="42">
        <f t="shared" si="90"/>
        <v>0</v>
      </c>
      <c r="DU101" s="42">
        <f t="shared" si="90"/>
        <v>0</v>
      </c>
      <c r="DV101" s="42">
        <f t="shared" si="88"/>
        <v>0</v>
      </c>
      <c r="DW101" s="42">
        <f t="shared" si="84"/>
        <v>0</v>
      </c>
      <c r="DX101" s="42">
        <f t="shared" si="84"/>
        <v>0</v>
      </c>
      <c r="DY101" s="42"/>
      <c r="DZ101" s="42">
        <f t="shared" si="85"/>
        <v>0</v>
      </c>
      <c r="EB101" s="47">
        <f t="shared" si="62"/>
        <v>114000000</v>
      </c>
      <c r="EC101" s="47">
        <f t="shared" si="63"/>
        <v>114000000</v>
      </c>
      <c r="ED101" s="47">
        <f t="shared" si="64"/>
        <v>114000000</v>
      </c>
    </row>
    <row r="102" spans="1:136" ht="27" customHeight="1" x14ac:dyDescent="0.3">
      <c r="A102" s="100"/>
      <c r="B102" s="118" t="s">
        <v>290</v>
      </c>
      <c r="C102" s="55" t="s">
        <v>291</v>
      </c>
      <c r="D102" s="39" t="s">
        <v>292</v>
      </c>
      <c r="E102" s="40">
        <v>520</v>
      </c>
      <c r="F102" s="110" t="s">
        <v>293</v>
      </c>
      <c r="G102" s="42">
        <f t="shared" si="72"/>
        <v>326988146</v>
      </c>
      <c r="H102" s="58"/>
      <c r="I102" s="42">
        <v>200000000</v>
      </c>
      <c r="J102" s="77"/>
      <c r="K102" s="77"/>
      <c r="L102" s="77"/>
      <c r="M102" s="77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77"/>
      <c r="Y102" s="42">
        <v>50000000</v>
      </c>
      <c r="Z102" s="42">
        <f>10000000+30000000+20000000</f>
        <v>60000000</v>
      </c>
      <c r="AA102" s="42"/>
      <c r="AB102" s="42"/>
      <c r="AC102" s="42"/>
      <c r="AD102" s="42">
        <f>8000000+8988146</f>
        <v>16988146</v>
      </c>
      <c r="AE102" s="43">
        <f t="shared" si="86"/>
        <v>1</v>
      </c>
      <c r="AF102" s="42">
        <f t="shared" si="73"/>
        <v>326988146</v>
      </c>
      <c r="AG102" s="42"/>
      <c r="AH102" s="42">
        <f>+'[3]NOVIEMBRE 2019'!$K$5846</f>
        <v>200000000</v>
      </c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>
        <f>+'[5]JUNIO 2019'!$Z$2879</f>
        <v>50000000</v>
      </c>
      <c r="AY102" s="42">
        <f>+'[3]NOVIEMBRE 2019'!$AB$5846</f>
        <v>60000000</v>
      </c>
      <c r="AZ102" s="42"/>
      <c r="BA102" s="42"/>
      <c r="BB102" s="42"/>
      <c r="BC102" s="42">
        <f>+'[4]JULIO 2019'!$AF$3568</f>
        <v>16988146</v>
      </c>
      <c r="BD102" s="43">
        <f t="shared" si="59"/>
        <v>0</v>
      </c>
      <c r="BE102" s="42">
        <f t="shared" si="74"/>
        <v>0</v>
      </c>
      <c r="BF102" s="42">
        <f t="shared" ref="BF102:BH103" si="91">H102-AG102</f>
        <v>0</v>
      </c>
      <c r="BG102" s="42">
        <f t="shared" si="91"/>
        <v>0</v>
      </c>
      <c r="BH102" s="42">
        <f t="shared" si="91"/>
        <v>0</v>
      </c>
      <c r="BI102" s="42">
        <f t="shared" si="76"/>
        <v>0</v>
      </c>
      <c r="BJ102" s="42">
        <f t="shared" ref="BJ102:BU103" si="92">L102-AK102</f>
        <v>0</v>
      </c>
      <c r="BK102" s="42">
        <f t="shared" si="92"/>
        <v>0</v>
      </c>
      <c r="BL102" s="42">
        <f t="shared" si="92"/>
        <v>0</v>
      </c>
      <c r="BM102" s="42">
        <f t="shared" si="92"/>
        <v>0</v>
      </c>
      <c r="BN102" s="42">
        <f t="shared" si="92"/>
        <v>0</v>
      </c>
      <c r="BO102" s="42">
        <f t="shared" si="92"/>
        <v>0</v>
      </c>
      <c r="BP102" s="42">
        <f t="shared" si="92"/>
        <v>0</v>
      </c>
      <c r="BQ102" s="42">
        <f t="shared" si="92"/>
        <v>0</v>
      </c>
      <c r="BR102" s="42">
        <f t="shared" si="92"/>
        <v>0</v>
      </c>
      <c r="BS102" s="42">
        <f t="shared" si="92"/>
        <v>0</v>
      </c>
      <c r="BT102" s="42">
        <f t="shared" si="92"/>
        <v>0</v>
      </c>
      <c r="BU102" s="42">
        <f t="shared" si="92"/>
        <v>0</v>
      </c>
      <c r="BV102" s="42">
        <f>X102-AW102</f>
        <v>0</v>
      </c>
      <c r="BW102" s="42">
        <f t="shared" ref="BW102:BZ103" si="93">Y102-AX102</f>
        <v>0</v>
      </c>
      <c r="BX102" s="42">
        <f t="shared" si="93"/>
        <v>0</v>
      </c>
      <c r="BY102" s="42">
        <f t="shared" si="93"/>
        <v>0</v>
      </c>
      <c r="BZ102" s="42">
        <f t="shared" si="93"/>
        <v>0</v>
      </c>
      <c r="CA102" s="42"/>
      <c r="CB102" s="42">
        <f>AD102-BC102</f>
        <v>0</v>
      </c>
      <c r="CC102" s="43">
        <f t="shared" si="60"/>
        <v>0.90569650803182322</v>
      </c>
      <c r="CD102" s="42">
        <f t="shared" si="80"/>
        <v>296152022</v>
      </c>
      <c r="CE102" s="42"/>
      <c r="CF102" s="42">
        <f>+'[3]NOVIEMBRE 2019'!$H$5847+'[3]NOVIEMBRE 2019'!$H$5866+'[3]NOVIEMBRE 2019'!$H$5873+'[3]NOVIEMBRE 2019'!$H$5877+'[3]NOVIEMBRE 2019'!$H$5879+'[3]NOVIEMBRE 2019'!$H$5881+'[3]NOVIEMBRE 2019'!$H$5883+'[3]NOVIEMBRE 2019'!$H$5897+'[3]NOVIEMBRE 2019'!$H$5915</f>
        <v>196557218</v>
      </c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>
        <f>+'[3]NOVIEMBRE 2019'!$H$5887+'[3]NOVIEMBRE 2019'!$H$5888</f>
        <v>49996663</v>
      </c>
      <c r="CW102" s="42">
        <f>+'[3]NOVIEMBRE 2019'!$H$5919+'[3]NOVIEMBRE 2019'!$H$5908+'[3]NOVIEMBRE 2019'!$H$5905</f>
        <v>32609995</v>
      </c>
      <c r="CX102" s="42"/>
      <c r="CY102" s="42"/>
      <c r="CZ102" s="42"/>
      <c r="DA102" s="42">
        <f>+'[3]NOVIEMBRE 2019'!$H$5863+'[3]NOVIEMBRE 2019'!$H$5884+'[3]NOVIEMBRE 2019'!$H$5901</f>
        <v>16988146</v>
      </c>
      <c r="DB102" s="115">
        <f t="shared" si="61"/>
        <v>9.4303491968176778E-2</v>
      </c>
      <c r="DC102" s="42">
        <f t="shared" si="81"/>
        <v>30836124</v>
      </c>
      <c r="DD102" s="42">
        <f t="shared" si="82"/>
        <v>0</v>
      </c>
      <c r="DE102" s="42">
        <f t="shared" si="82"/>
        <v>3442782</v>
      </c>
      <c r="DF102" s="42"/>
      <c r="DG102" s="42">
        <f t="shared" si="90"/>
        <v>0</v>
      </c>
      <c r="DH102" s="42">
        <f t="shared" si="90"/>
        <v>0</v>
      </c>
      <c r="DI102" s="42">
        <f t="shared" si="90"/>
        <v>0</v>
      </c>
      <c r="DJ102" s="42">
        <f t="shared" si="90"/>
        <v>0</v>
      </c>
      <c r="DK102" s="42">
        <f t="shared" si="90"/>
        <v>0</v>
      </c>
      <c r="DL102" s="42">
        <f t="shared" si="90"/>
        <v>0</v>
      </c>
      <c r="DM102" s="42">
        <f t="shared" si="90"/>
        <v>0</v>
      </c>
      <c r="DN102" s="42">
        <f t="shared" si="90"/>
        <v>0</v>
      </c>
      <c r="DO102" s="42">
        <f t="shared" si="90"/>
        <v>0</v>
      </c>
      <c r="DP102" s="42">
        <f t="shared" si="90"/>
        <v>0</v>
      </c>
      <c r="DQ102" s="42">
        <f t="shared" si="90"/>
        <v>0</v>
      </c>
      <c r="DR102" s="42">
        <f t="shared" si="90"/>
        <v>0</v>
      </c>
      <c r="DS102" s="42">
        <f t="shared" si="90"/>
        <v>0</v>
      </c>
      <c r="DT102" s="42">
        <f t="shared" si="90"/>
        <v>0</v>
      </c>
      <c r="DU102" s="42">
        <f t="shared" si="90"/>
        <v>3337</v>
      </c>
      <c r="DV102" s="42">
        <f t="shared" si="88"/>
        <v>27390005</v>
      </c>
      <c r="DW102" s="42">
        <f t="shared" si="84"/>
        <v>0</v>
      </c>
      <c r="DX102" s="42">
        <f t="shared" si="84"/>
        <v>0</v>
      </c>
      <c r="DY102" s="42"/>
      <c r="DZ102" s="42">
        <f t="shared" si="85"/>
        <v>0</v>
      </c>
      <c r="EB102" s="47">
        <f t="shared" si="62"/>
        <v>326988146</v>
      </c>
      <c r="EC102" s="47">
        <f t="shared" si="63"/>
        <v>326988146</v>
      </c>
      <c r="ED102" s="47">
        <f t="shared" si="64"/>
        <v>326988146</v>
      </c>
      <c r="EE102" s="63"/>
    </row>
    <row r="103" spans="1:136" ht="34.200000000000003" customHeight="1" x14ac:dyDescent="0.3">
      <c r="A103" s="100"/>
      <c r="B103" s="97"/>
      <c r="C103" s="55" t="s">
        <v>294</v>
      </c>
      <c r="D103" s="39" t="s">
        <v>295</v>
      </c>
      <c r="E103" s="40">
        <v>520</v>
      </c>
      <c r="F103" s="41" t="s">
        <v>296</v>
      </c>
      <c r="G103" s="42">
        <f t="shared" si="72"/>
        <v>96500718</v>
      </c>
      <c r="H103" s="58"/>
      <c r="I103" s="42"/>
      <c r="J103" s="77"/>
      <c r="K103" s="77"/>
      <c r="L103" s="111"/>
      <c r="M103" s="77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77"/>
      <c r="Y103" s="42"/>
      <c r="Z103" s="42"/>
      <c r="AA103" s="42"/>
      <c r="AB103" s="42"/>
      <c r="AC103" s="42"/>
      <c r="AD103" s="42">
        <f>54811394+5000000+30000000+6689324</f>
        <v>96500718</v>
      </c>
      <c r="AE103" s="43">
        <f t="shared" si="86"/>
        <v>0.94818691400824606</v>
      </c>
      <c r="AF103" s="42">
        <f t="shared" si="73"/>
        <v>91500718</v>
      </c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>
        <f>+'[3]NOVIEMBRE 2019'!$AG$5925</f>
        <v>91500718</v>
      </c>
      <c r="BD103" s="43">
        <f t="shared" si="59"/>
        <v>5.1813085991753938E-2</v>
      </c>
      <c r="BE103" s="42">
        <f t="shared" si="74"/>
        <v>5000000</v>
      </c>
      <c r="BF103" s="42">
        <f t="shared" si="91"/>
        <v>0</v>
      </c>
      <c r="BG103" s="42">
        <f t="shared" si="91"/>
        <v>0</v>
      </c>
      <c r="BH103" s="42">
        <f t="shared" si="91"/>
        <v>0</v>
      </c>
      <c r="BI103" s="42">
        <f t="shared" si="76"/>
        <v>0</v>
      </c>
      <c r="BJ103" s="42">
        <f t="shared" si="92"/>
        <v>0</v>
      </c>
      <c r="BK103" s="42">
        <f t="shared" si="92"/>
        <v>0</v>
      </c>
      <c r="BL103" s="42">
        <f t="shared" si="92"/>
        <v>0</v>
      </c>
      <c r="BM103" s="42">
        <f t="shared" si="92"/>
        <v>0</v>
      </c>
      <c r="BN103" s="42">
        <f t="shared" si="92"/>
        <v>0</v>
      </c>
      <c r="BO103" s="42">
        <f t="shared" si="92"/>
        <v>0</v>
      </c>
      <c r="BP103" s="42">
        <f t="shared" si="92"/>
        <v>0</v>
      </c>
      <c r="BQ103" s="42">
        <f t="shared" si="92"/>
        <v>0</v>
      </c>
      <c r="BR103" s="42">
        <f t="shared" si="92"/>
        <v>0</v>
      </c>
      <c r="BS103" s="42">
        <f t="shared" si="92"/>
        <v>0</v>
      </c>
      <c r="BT103" s="42">
        <f t="shared" si="92"/>
        <v>0</v>
      </c>
      <c r="BU103" s="42">
        <f t="shared" si="92"/>
        <v>0</v>
      </c>
      <c r="BV103" s="42">
        <f>X103-AW103</f>
        <v>0</v>
      </c>
      <c r="BW103" s="42">
        <f t="shared" si="93"/>
        <v>0</v>
      </c>
      <c r="BX103" s="42">
        <f t="shared" si="93"/>
        <v>0</v>
      </c>
      <c r="BY103" s="42">
        <f t="shared" si="93"/>
        <v>0</v>
      </c>
      <c r="BZ103" s="42">
        <f t="shared" si="93"/>
        <v>0</v>
      </c>
      <c r="CA103" s="42"/>
      <c r="CB103" s="42">
        <f>AD103-BC103</f>
        <v>5000000</v>
      </c>
      <c r="CC103" s="43">
        <f t="shared" si="60"/>
        <v>0.78792052096441401</v>
      </c>
      <c r="CD103" s="42">
        <f t="shared" si="80"/>
        <v>76034896</v>
      </c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>
        <f>+'[3]NOVIEMBRE 2019'!$H$5923</f>
        <v>76034896</v>
      </c>
      <c r="DB103" s="115">
        <f t="shared" si="61"/>
        <v>0.21207947903558599</v>
      </c>
      <c r="DC103" s="42">
        <f t="shared" si="81"/>
        <v>20465822</v>
      </c>
      <c r="DD103" s="42">
        <f t="shared" si="82"/>
        <v>0</v>
      </c>
      <c r="DE103" s="42">
        <f t="shared" si="82"/>
        <v>0</v>
      </c>
      <c r="DF103" s="42"/>
      <c r="DG103" s="42">
        <f t="shared" si="90"/>
        <v>0</v>
      </c>
      <c r="DH103" s="42">
        <f t="shared" si="90"/>
        <v>0</v>
      </c>
      <c r="DI103" s="42">
        <f t="shared" si="90"/>
        <v>0</v>
      </c>
      <c r="DJ103" s="42">
        <f t="shared" si="90"/>
        <v>0</v>
      </c>
      <c r="DK103" s="42">
        <f t="shared" si="90"/>
        <v>0</v>
      </c>
      <c r="DL103" s="42">
        <f t="shared" si="90"/>
        <v>0</v>
      </c>
      <c r="DM103" s="42">
        <f t="shared" si="90"/>
        <v>0</v>
      </c>
      <c r="DN103" s="42">
        <f t="shared" si="90"/>
        <v>0</v>
      </c>
      <c r="DO103" s="42">
        <f t="shared" si="90"/>
        <v>0</v>
      </c>
      <c r="DP103" s="42">
        <f t="shared" si="90"/>
        <v>0</v>
      </c>
      <c r="DQ103" s="42">
        <f t="shared" si="90"/>
        <v>0</v>
      </c>
      <c r="DR103" s="42">
        <f t="shared" si="90"/>
        <v>0</v>
      </c>
      <c r="DS103" s="42">
        <f t="shared" si="90"/>
        <v>0</v>
      </c>
      <c r="DT103" s="42">
        <f t="shared" si="90"/>
        <v>0</v>
      </c>
      <c r="DU103" s="42">
        <f t="shared" si="90"/>
        <v>0</v>
      </c>
      <c r="DV103" s="42">
        <f t="shared" si="88"/>
        <v>0</v>
      </c>
      <c r="DW103" s="42">
        <f t="shared" si="84"/>
        <v>0</v>
      </c>
      <c r="DX103" s="42">
        <f t="shared" si="84"/>
        <v>0</v>
      </c>
      <c r="DY103" s="42"/>
      <c r="DZ103" s="42">
        <f t="shared" si="85"/>
        <v>20465822</v>
      </c>
      <c r="EB103" s="47">
        <f t="shared" si="62"/>
        <v>96500718</v>
      </c>
      <c r="EC103" s="47">
        <f t="shared" si="63"/>
        <v>96500718</v>
      </c>
      <c r="ED103" s="47">
        <f t="shared" si="64"/>
        <v>96500718</v>
      </c>
    </row>
    <row r="104" spans="1:136" s="73" customFormat="1" ht="20.25" customHeight="1" thickBot="1" x14ac:dyDescent="0.35">
      <c r="A104" s="119"/>
      <c r="B104" s="120" t="s">
        <v>297</v>
      </c>
      <c r="C104" s="121"/>
      <c r="D104" s="121"/>
      <c r="E104" s="121"/>
      <c r="F104" s="122"/>
      <c r="G104" s="92">
        <f t="shared" ref="G104:AD104" si="94">SUM(G81:G103)</f>
        <v>4542835904</v>
      </c>
      <c r="H104" s="92">
        <f t="shared" si="94"/>
        <v>0</v>
      </c>
      <c r="I104" s="92">
        <f t="shared" si="94"/>
        <v>835000000</v>
      </c>
      <c r="J104" s="92">
        <f t="shared" si="94"/>
        <v>0</v>
      </c>
      <c r="K104" s="92">
        <f t="shared" si="94"/>
        <v>114000000</v>
      </c>
      <c r="L104" s="92">
        <f t="shared" si="94"/>
        <v>0</v>
      </c>
      <c r="M104" s="92">
        <f t="shared" si="94"/>
        <v>0</v>
      </c>
      <c r="N104" s="92">
        <f t="shared" si="94"/>
        <v>0</v>
      </c>
      <c r="O104" s="92">
        <f t="shared" si="94"/>
        <v>0</v>
      </c>
      <c r="P104" s="92">
        <f t="shared" si="94"/>
        <v>0</v>
      </c>
      <c r="Q104" s="92">
        <f t="shared" si="94"/>
        <v>0</v>
      </c>
      <c r="R104" s="92">
        <f t="shared" si="94"/>
        <v>0</v>
      </c>
      <c r="S104" s="92">
        <f t="shared" si="94"/>
        <v>0</v>
      </c>
      <c r="T104" s="92">
        <f t="shared" si="94"/>
        <v>0</v>
      </c>
      <c r="U104" s="92">
        <f t="shared" si="94"/>
        <v>0</v>
      </c>
      <c r="V104" s="92">
        <f t="shared" si="94"/>
        <v>0</v>
      </c>
      <c r="W104" s="92">
        <f t="shared" si="94"/>
        <v>2115618253</v>
      </c>
      <c r="X104" s="92">
        <f t="shared" si="94"/>
        <v>312000000</v>
      </c>
      <c r="Y104" s="92">
        <f t="shared" si="94"/>
        <v>132565530</v>
      </c>
      <c r="Z104" s="92">
        <f t="shared" si="94"/>
        <v>210000000</v>
      </c>
      <c r="AA104" s="92">
        <f t="shared" si="94"/>
        <v>0</v>
      </c>
      <c r="AB104" s="92">
        <f t="shared" si="94"/>
        <v>0</v>
      </c>
      <c r="AC104" s="92">
        <f t="shared" si="94"/>
        <v>0</v>
      </c>
      <c r="AD104" s="92">
        <f t="shared" si="94"/>
        <v>823652121</v>
      </c>
      <c r="AE104" s="71">
        <f t="shared" si="86"/>
        <v>0.75760070663560553</v>
      </c>
      <c r="AF104" s="92">
        <f>SUM(AF81:AF103)</f>
        <v>3441655691</v>
      </c>
      <c r="AG104" s="92">
        <f>SUM(AG81:AG103)</f>
        <v>0</v>
      </c>
      <c r="AH104" s="92">
        <f>SUM(AH81:AH103)</f>
        <v>778803326</v>
      </c>
      <c r="AI104" s="92">
        <f>SUM(AI81:AI103)</f>
        <v>0</v>
      </c>
      <c r="AJ104" s="92"/>
      <c r="AK104" s="92">
        <f t="shared" ref="AK104:BC104" si="95">SUM(AK81:AK103)</f>
        <v>0</v>
      </c>
      <c r="AL104" s="92">
        <f t="shared" si="95"/>
        <v>0</v>
      </c>
      <c r="AM104" s="92">
        <f t="shared" si="95"/>
        <v>0</v>
      </c>
      <c r="AN104" s="92">
        <f t="shared" si="95"/>
        <v>0</v>
      </c>
      <c r="AO104" s="92">
        <f t="shared" si="95"/>
        <v>0</v>
      </c>
      <c r="AP104" s="92">
        <f t="shared" si="95"/>
        <v>0</v>
      </c>
      <c r="AQ104" s="92">
        <f t="shared" si="95"/>
        <v>0</v>
      </c>
      <c r="AR104" s="92">
        <f t="shared" si="95"/>
        <v>0</v>
      </c>
      <c r="AS104" s="92">
        <f t="shared" si="95"/>
        <v>0</v>
      </c>
      <c r="AT104" s="92">
        <f t="shared" si="95"/>
        <v>0</v>
      </c>
      <c r="AU104" s="92">
        <f t="shared" si="95"/>
        <v>0</v>
      </c>
      <c r="AV104" s="92">
        <f t="shared" si="95"/>
        <v>1157547927</v>
      </c>
      <c r="AW104" s="92">
        <f t="shared" si="95"/>
        <v>289370571</v>
      </c>
      <c r="AX104" s="92">
        <f t="shared" si="95"/>
        <v>132163690</v>
      </c>
      <c r="AY104" s="92">
        <f t="shared" si="95"/>
        <v>208647007</v>
      </c>
      <c r="AZ104" s="92">
        <f t="shared" si="95"/>
        <v>0</v>
      </c>
      <c r="BA104" s="92">
        <f t="shared" si="95"/>
        <v>0</v>
      </c>
      <c r="BB104" s="92">
        <f t="shared" si="95"/>
        <v>0</v>
      </c>
      <c r="BC104" s="92">
        <f t="shared" si="95"/>
        <v>761123170</v>
      </c>
      <c r="BD104" s="71">
        <f t="shared" si="59"/>
        <v>0.24239929336439447</v>
      </c>
      <c r="BE104" s="92">
        <f t="shared" ref="BE104:CB104" si="96">SUM(BE81:BE103)</f>
        <v>1101180213</v>
      </c>
      <c r="BF104" s="92">
        <f t="shared" si="96"/>
        <v>0</v>
      </c>
      <c r="BG104" s="92">
        <f t="shared" si="96"/>
        <v>56196674</v>
      </c>
      <c r="BH104" s="92">
        <f t="shared" si="96"/>
        <v>0</v>
      </c>
      <c r="BI104" s="92">
        <f t="shared" si="96"/>
        <v>0</v>
      </c>
      <c r="BJ104" s="92">
        <f t="shared" si="96"/>
        <v>0</v>
      </c>
      <c r="BK104" s="92">
        <f t="shared" si="96"/>
        <v>0</v>
      </c>
      <c r="BL104" s="92">
        <f t="shared" si="96"/>
        <v>0</v>
      </c>
      <c r="BM104" s="92">
        <f t="shared" si="96"/>
        <v>0</v>
      </c>
      <c r="BN104" s="92">
        <f t="shared" si="96"/>
        <v>0</v>
      </c>
      <c r="BO104" s="92">
        <f t="shared" si="96"/>
        <v>0</v>
      </c>
      <c r="BP104" s="92">
        <f t="shared" si="96"/>
        <v>0</v>
      </c>
      <c r="BQ104" s="92">
        <f t="shared" si="96"/>
        <v>0</v>
      </c>
      <c r="BR104" s="92">
        <f t="shared" si="96"/>
        <v>0</v>
      </c>
      <c r="BS104" s="92">
        <f t="shared" si="96"/>
        <v>0</v>
      </c>
      <c r="BT104" s="92">
        <f t="shared" si="96"/>
        <v>0</v>
      </c>
      <c r="BU104" s="92">
        <f t="shared" si="96"/>
        <v>958070326</v>
      </c>
      <c r="BV104" s="92">
        <f t="shared" si="96"/>
        <v>22629429</v>
      </c>
      <c r="BW104" s="92">
        <f t="shared" si="96"/>
        <v>401840</v>
      </c>
      <c r="BX104" s="92">
        <f t="shared" si="96"/>
        <v>1352993</v>
      </c>
      <c r="BY104" s="92">
        <f t="shared" si="96"/>
        <v>0</v>
      </c>
      <c r="BZ104" s="92">
        <f t="shared" si="96"/>
        <v>0</v>
      </c>
      <c r="CA104" s="92">
        <f t="shared" si="96"/>
        <v>0</v>
      </c>
      <c r="CB104" s="92">
        <f t="shared" si="96"/>
        <v>62528951</v>
      </c>
      <c r="CC104" s="71">
        <f t="shared" si="60"/>
        <v>0.68240859597643966</v>
      </c>
      <c r="CD104" s="92">
        <f>SUM(CD81:CD103)</f>
        <v>3100070271</v>
      </c>
      <c r="CE104" s="92">
        <f>SUM(CE81:CE103)</f>
        <v>0</v>
      </c>
      <c r="CF104" s="92">
        <f>SUM(CF81:CF103)</f>
        <v>743657184</v>
      </c>
      <c r="CG104" s="92">
        <f>SUM(CG81:CG103)</f>
        <v>0</v>
      </c>
      <c r="CH104" s="92"/>
      <c r="CI104" s="92">
        <f t="shared" ref="CI104:DA104" si="97">SUM(CI81:CI103)</f>
        <v>0</v>
      </c>
      <c r="CJ104" s="92">
        <f t="shared" si="97"/>
        <v>0</v>
      </c>
      <c r="CK104" s="92">
        <f t="shared" si="97"/>
        <v>0</v>
      </c>
      <c r="CL104" s="92">
        <f t="shared" si="97"/>
        <v>0</v>
      </c>
      <c r="CM104" s="92">
        <f t="shared" si="97"/>
        <v>0</v>
      </c>
      <c r="CN104" s="92">
        <f t="shared" si="97"/>
        <v>0</v>
      </c>
      <c r="CO104" s="92">
        <f t="shared" si="97"/>
        <v>0</v>
      </c>
      <c r="CP104" s="92">
        <f t="shared" si="97"/>
        <v>0</v>
      </c>
      <c r="CQ104" s="92">
        <f t="shared" si="97"/>
        <v>0</v>
      </c>
      <c r="CR104" s="92">
        <f t="shared" si="97"/>
        <v>0</v>
      </c>
      <c r="CS104" s="92">
        <f t="shared" si="97"/>
        <v>0</v>
      </c>
      <c r="CT104" s="92">
        <f t="shared" si="97"/>
        <v>1084000006</v>
      </c>
      <c r="CU104" s="92">
        <f t="shared" si="97"/>
        <v>256741164</v>
      </c>
      <c r="CV104" s="92">
        <f t="shared" si="97"/>
        <v>131494823</v>
      </c>
      <c r="CW104" s="92">
        <f t="shared" si="97"/>
        <v>181257002</v>
      </c>
      <c r="CX104" s="92">
        <f t="shared" si="97"/>
        <v>0</v>
      </c>
      <c r="CY104" s="92">
        <f t="shared" si="97"/>
        <v>0</v>
      </c>
      <c r="CZ104" s="92">
        <f t="shared" si="97"/>
        <v>0</v>
      </c>
      <c r="DA104" s="92">
        <f t="shared" si="97"/>
        <v>702920092</v>
      </c>
      <c r="DB104" s="71">
        <f t="shared" si="61"/>
        <v>0.31759140402356034</v>
      </c>
      <c r="DC104" s="123">
        <f t="shared" si="81"/>
        <v>1442765633</v>
      </c>
      <c r="DD104" s="92">
        <f t="shared" ref="DD104:DZ104" si="98">SUM(DD81:DD103)</f>
        <v>0</v>
      </c>
      <c r="DE104" s="92">
        <f t="shared" si="98"/>
        <v>91342816</v>
      </c>
      <c r="DF104" s="92">
        <f t="shared" si="98"/>
        <v>0</v>
      </c>
      <c r="DG104" s="92">
        <f t="shared" si="98"/>
        <v>114000000</v>
      </c>
      <c r="DH104" s="92">
        <f t="shared" si="98"/>
        <v>0</v>
      </c>
      <c r="DI104" s="92">
        <f t="shared" si="98"/>
        <v>0</v>
      </c>
      <c r="DJ104" s="92">
        <f t="shared" si="98"/>
        <v>0</v>
      </c>
      <c r="DK104" s="92">
        <f t="shared" si="98"/>
        <v>0</v>
      </c>
      <c r="DL104" s="92">
        <f t="shared" si="98"/>
        <v>0</v>
      </c>
      <c r="DM104" s="92">
        <f t="shared" si="98"/>
        <v>0</v>
      </c>
      <c r="DN104" s="92">
        <f t="shared" si="98"/>
        <v>0</v>
      </c>
      <c r="DO104" s="92">
        <f t="shared" si="98"/>
        <v>0</v>
      </c>
      <c r="DP104" s="92">
        <f t="shared" si="98"/>
        <v>0</v>
      </c>
      <c r="DQ104" s="92">
        <f t="shared" si="98"/>
        <v>0</v>
      </c>
      <c r="DR104" s="92">
        <f t="shared" si="98"/>
        <v>0</v>
      </c>
      <c r="DS104" s="92">
        <f t="shared" si="98"/>
        <v>1031618247</v>
      </c>
      <c r="DT104" s="92">
        <f t="shared" si="98"/>
        <v>55258836</v>
      </c>
      <c r="DU104" s="92">
        <f t="shared" si="98"/>
        <v>1070707</v>
      </c>
      <c r="DV104" s="92">
        <f t="shared" si="98"/>
        <v>28742998</v>
      </c>
      <c r="DW104" s="92">
        <f t="shared" si="98"/>
        <v>0</v>
      </c>
      <c r="DX104" s="92">
        <f t="shared" si="98"/>
        <v>0</v>
      </c>
      <c r="DY104" s="92">
        <f t="shared" si="98"/>
        <v>0</v>
      </c>
      <c r="DZ104" s="92">
        <f t="shared" si="98"/>
        <v>120732029</v>
      </c>
      <c r="EB104" s="47">
        <f t="shared" si="62"/>
        <v>4542835904</v>
      </c>
      <c r="EC104" s="47">
        <f t="shared" si="63"/>
        <v>4542835904</v>
      </c>
      <c r="ED104" s="47">
        <f t="shared" si="64"/>
        <v>4542835904</v>
      </c>
    </row>
    <row r="105" spans="1:136" s="73" customFormat="1" ht="29.4" customHeight="1" thickTop="1" x14ac:dyDescent="0.3">
      <c r="A105" s="124" t="s">
        <v>298</v>
      </c>
      <c r="B105" s="125" t="s">
        <v>299</v>
      </c>
      <c r="C105" s="78" t="s">
        <v>300</v>
      </c>
      <c r="D105" s="50" t="s">
        <v>301</v>
      </c>
      <c r="E105" s="40">
        <v>301</v>
      </c>
      <c r="F105" s="41" t="s">
        <v>302</v>
      </c>
      <c r="G105" s="42">
        <f t="shared" ref="G105:G120" si="99">SUM(H105:AD105)</f>
        <v>16000000</v>
      </c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>
        <v>16000000</v>
      </c>
      <c r="AB105" s="42"/>
      <c r="AC105" s="42"/>
      <c r="AD105" s="42"/>
      <c r="AE105" s="43">
        <f t="shared" si="86"/>
        <v>1</v>
      </c>
      <c r="AF105" s="42">
        <f t="shared" ref="AF105:AF120" si="100">SUM(AG105:BC105)</f>
        <v>16000000</v>
      </c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>
        <f>+'[2]SEPTIEMBRE 2019'!$AC$976</f>
        <v>16000000</v>
      </c>
      <c r="BA105" s="42"/>
      <c r="BB105" s="42"/>
      <c r="BC105" s="42"/>
      <c r="BD105" s="43">
        <f t="shared" si="59"/>
        <v>0</v>
      </c>
      <c r="BE105" s="42">
        <f t="shared" ref="BE105:BE120" si="101">SUM(BF105:CB105)</f>
        <v>0</v>
      </c>
      <c r="BF105" s="42">
        <f t="shared" ref="BF105:BH107" si="102">H105-AG105</f>
        <v>0</v>
      </c>
      <c r="BG105" s="42">
        <f t="shared" si="102"/>
        <v>0</v>
      </c>
      <c r="BH105" s="42">
        <f t="shared" si="102"/>
        <v>0</v>
      </c>
      <c r="BI105" s="42">
        <f t="shared" ref="BI105:BI120" si="103">+K105-AJ105</f>
        <v>0</v>
      </c>
      <c r="BJ105" s="42">
        <f t="shared" ref="BJ105:BY107" si="104">L105-AK105</f>
        <v>0</v>
      </c>
      <c r="BK105" s="42">
        <f t="shared" si="104"/>
        <v>0</v>
      </c>
      <c r="BL105" s="42">
        <f t="shared" si="104"/>
        <v>0</v>
      </c>
      <c r="BM105" s="42">
        <f t="shared" si="104"/>
        <v>0</v>
      </c>
      <c r="BN105" s="42">
        <f t="shared" si="104"/>
        <v>0</v>
      </c>
      <c r="BO105" s="42">
        <f t="shared" si="104"/>
        <v>0</v>
      </c>
      <c r="BP105" s="42">
        <f t="shared" si="104"/>
        <v>0</v>
      </c>
      <c r="BQ105" s="42">
        <f t="shared" si="104"/>
        <v>0</v>
      </c>
      <c r="BR105" s="42">
        <f t="shared" si="104"/>
        <v>0</v>
      </c>
      <c r="BS105" s="42">
        <f t="shared" si="104"/>
        <v>0</v>
      </c>
      <c r="BT105" s="42">
        <f t="shared" si="104"/>
        <v>0</v>
      </c>
      <c r="BU105" s="42">
        <f t="shared" si="104"/>
        <v>0</v>
      </c>
      <c r="BV105" s="42">
        <f t="shared" si="104"/>
        <v>0</v>
      </c>
      <c r="BW105" s="42">
        <f t="shared" si="104"/>
        <v>0</v>
      </c>
      <c r="BX105" s="42">
        <f t="shared" si="104"/>
        <v>0</v>
      </c>
      <c r="BY105" s="42">
        <f t="shared" si="104"/>
        <v>0</v>
      </c>
      <c r="BZ105" s="42">
        <f t="shared" ref="BT105:BZ120" si="105">AB105-BA105</f>
        <v>0</v>
      </c>
      <c r="CA105" s="42"/>
      <c r="CB105" s="42">
        <f>AD105-BC105</f>
        <v>0</v>
      </c>
      <c r="CC105" s="43">
        <f t="shared" si="60"/>
        <v>1</v>
      </c>
      <c r="CD105" s="42">
        <f t="shared" ref="CD105:CD120" si="106">SUM(CE105:DA105)</f>
        <v>16000000</v>
      </c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>
        <f>+'[3]NOVIEMBRE 2019'!$H$1217</f>
        <v>16000000</v>
      </c>
      <c r="CY105" s="42"/>
      <c r="CZ105" s="42"/>
      <c r="DA105" s="42"/>
      <c r="DB105" s="43">
        <f t="shared" si="61"/>
        <v>0</v>
      </c>
      <c r="DC105" s="77">
        <f t="shared" si="81"/>
        <v>0</v>
      </c>
      <c r="DD105" s="42">
        <f t="shared" ref="DD105:DE116" si="107">H105-CE105</f>
        <v>0</v>
      </c>
      <c r="DE105" s="42">
        <f t="shared" si="107"/>
        <v>0</v>
      </c>
      <c r="DF105" s="42"/>
      <c r="DG105" s="42">
        <f t="shared" ref="DG105:DV116" si="108">K105-CH105</f>
        <v>0</v>
      </c>
      <c r="DH105" s="42">
        <f t="shared" si="108"/>
        <v>0</v>
      </c>
      <c r="DI105" s="42">
        <f t="shared" si="108"/>
        <v>0</v>
      </c>
      <c r="DJ105" s="42">
        <f t="shared" si="108"/>
        <v>0</v>
      </c>
      <c r="DK105" s="42">
        <f t="shared" si="108"/>
        <v>0</v>
      </c>
      <c r="DL105" s="42">
        <f t="shared" si="108"/>
        <v>0</v>
      </c>
      <c r="DM105" s="42">
        <f t="shared" si="108"/>
        <v>0</v>
      </c>
      <c r="DN105" s="42">
        <f t="shared" si="108"/>
        <v>0</v>
      </c>
      <c r="DO105" s="42">
        <f t="shared" si="108"/>
        <v>0</v>
      </c>
      <c r="DP105" s="42">
        <f t="shared" si="108"/>
        <v>0</v>
      </c>
      <c r="DQ105" s="42">
        <f t="shared" si="108"/>
        <v>0</v>
      </c>
      <c r="DR105" s="42">
        <f t="shared" si="108"/>
        <v>0</v>
      </c>
      <c r="DS105" s="42">
        <f t="shared" si="108"/>
        <v>0</v>
      </c>
      <c r="DT105" s="42">
        <f t="shared" si="108"/>
        <v>0</v>
      </c>
      <c r="DU105" s="42">
        <f t="shared" si="108"/>
        <v>0</v>
      </c>
      <c r="DV105" s="42">
        <f t="shared" si="108"/>
        <v>0</v>
      </c>
      <c r="DW105" s="42">
        <f t="shared" ref="DW105:DX116" si="109">AA105-CX105</f>
        <v>0</v>
      </c>
      <c r="DX105" s="42">
        <f t="shared" si="109"/>
        <v>0</v>
      </c>
      <c r="DY105" s="42"/>
      <c r="DZ105" s="42">
        <f t="shared" ref="DZ105:DZ116" si="110">AD105-DA105</f>
        <v>0</v>
      </c>
      <c r="EB105" s="47">
        <f t="shared" si="62"/>
        <v>16000000</v>
      </c>
      <c r="EC105" s="47">
        <f t="shared" si="63"/>
        <v>16000000</v>
      </c>
      <c r="ED105" s="47">
        <f t="shared" si="64"/>
        <v>16000000</v>
      </c>
    </row>
    <row r="106" spans="1:136" s="73" customFormat="1" ht="16.2" customHeight="1" x14ac:dyDescent="0.3">
      <c r="A106" s="124"/>
      <c r="B106" s="95"/>
      <c r="C106" s="78" t="s">
        <v>303</v>
      </c>
      <c r="D106" s="50" t="s">
        <v>304</v>
      </c>
      <c r="E106" s="40">
        <v>301</v>
      </c>
      <c r="F106" s="41" t="s">
        <v>302</v>
      </c>
      <c r="G106" s="42">
        <f t="shared" si="99"/>
        <v>64000000</v>
      </c>
      <c r="H106" s="42">
        <v>14000000</v>
      </c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>
        <v>50000000</v>
      </c>
      <c r="AB106" s="42"/>
      <c r="AC106" s="42"/>
      <c r="AD106" s="42"/>
      <c r="AE106" s="43">
        <f t="shared" si="86"/>
        <v>1</v>
      </c>
      <c r="AF106" s="42">
        <f t="shared" si="100"/>
        <v>64000000</v>
      </c>
      <c r="AG106" s="42">
        <f>+'[12]JULIO 2019'!$J$717</f>
        <v>14000000</v>
      </c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>
        <f>+'[10]ENERO 2019'!$AB$198</f>
        <v>50000000</v>
      </c>
      <c r="BA106" s="42"/>
      <c r="BB106" s="42"/>
      <c r="BC106" s="42"/>
      <c r="BD106" s="43">
        <f t="shared" si="59"/>
        <v>0</v>
      </c>
      <c r="BE106" s="42">
        <f t="shared" si="101"/>
        <v>0</v>
      </c>
      <c r="BF106" s="42">
        <f t="shared" si="102"/>
        <v>0</v>
      </c>
      <c r="BG106" s="42">
        <f t="shared" si="102"/>
        <v>0</v>
      </c>
      <c r="BH106" s="42">
        <f t="shared" si="102"/>
        <v>0</v>
      </c>
      <c r="BI106" s="42">
        <f t="shared" si="103"/>
        <v>0</v>
      </c>
      <c r="BJ106" s="42">
        <f t="shared" si="104"/>
        <v>0</v>
      </c>
      <c r="BK106" s="42">
        <f t="shared" si="104"/>
        <v>0</v>
      </c>
      <c r="BL106" s="42">
        <f t="shared" si="104"/>
        <v>0</v>
      </c>
      <c r="BM106" s="42">
        <f t="shared" si="104"/>
        <v>0</v>
      </c>
      <c r="BN106" s="42">
        <f t="shared" si="104"/>
        <v>0</v>
      </c>
      <c r="BO106" s="42">
        <f t="shared" si="104"/>
        <v>0</v>
      </c>
      <c r="BP106" s="42">
        <f t="shared" si="104"/>
        <v>0</v>
      </c>
      <c r="BQ106" s="42">
        <f t="shared" si="104"/>
        <v>0</v>
      </c>
      <c r="BR106" s="42">
        <f t="shared" si="104"/>
        <v>0</v>
      </c>
      <c r="BS106" s="42">
        <f t="shared" si="104"/>
        <v>0</v>
      </c>
      <c r="BT106" s="42">
        <f t="shared" si="105"/>
        <v>0</v>
      </c>
      <c r="BU106" s="42">
        <f t="shared" si="105"/>
        <v>0</v>
      </c>
      <c r="BV106" s="42">
        <f t="shared" si="105"/>
        <v>0</v>
      </c>
      <c r="BW106" s="42">
        <f t="shared" si="105"/>
        <v>0</v>
      </c>
      <c r="BX106" s="42">
        <f t="shared" si="105"/>
        <v>0</v>
      </c>
      <c r="BY106" s="42">
        <f t="shared" si="105"/>
        <v>0</v>
      </c>
      <c r="BZ106" s="42">
        <f t="shared" si="105"/>
        <v>0</v>
      </c>
      <c r="CA106" s="42"/>
      <c r="CB106" s="42">
        <f>AD106-BC106</f>
        <v>0</v>
      </c>
      <c r="CC106" s="43">
        <f t="shared" si="60"/>
        <v>1</v>
      </c>
      <c r="CD106" s="42">
        <f t="shared" si="106"/>
        <v>64000000</v>
      </c>
      <c r="CE106" s="42">
        <f>+'[3]NOVIEMBRE 2019'!$J$1239</f>
        <v>14000000</v>
      </c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>
        <f>+'[3]NOVIEMBRE 2019'!$AC$1239</f>
        <v>50000000</v>
      </c>
      <c r="CY106" s="42"/>
      <c r="CZ106" s="42"/>
      <c r="DA106" s="42"/>
      <c r="DB106" s="43">
        <f t="shared" si="61"/>
        <v>0</v>
      </c>
      <c r="DC106" s="42">
        <f t="shared" si="81"/>
        <v>0</v>
      </c>
      <c r="DD106" s="42">
        <f t="shared" si="107"/>
        <v>0</v>
      </c>
      <c r="DE106" s="42">
        <f t="shared" si="107"/>
        <v>0</v>
      </c>
      <c r="DF106" s="42"/>
      <c r="DG106" s="42">
        <f t="shared" si="108"/>
        <v>0</v>
      </c>
      <c r="DH106" s="42">
        <f t="shared" si="108"/>
        <v>0</v>
      </c>
      <c r="DI106" s="42">
        <f t="shared" si="108"/>
        <v>0</v>
      </c>
      <c r="DJ106" s="42">
        <f t="shared" si="108"/>
        <v>0</v>
      </c>
      <c r="DK106" s="42">
        <f t="shared" si="108"/>
        <v>0</v>
      </c>
      <c r="DL106" s="42">
        <f t="shared" si="108"/>
        <v>0</v>
      </c>
      <c r="DM106" s="42">
        <f t="shared" si="108"/>
        <v>0</v>
      </c>
      <c r="DN106" s="42">
        <f t="shared" si="108"/>
        <v>0</v>
      </c>
      <c r="DO106" s="42">
        <f t="shared" si="108"/>
        <v>0</v>
      </c>
      <c r="DP106" s="42">
        <f t="shared" si="108"/>
        <v>0</v>
      </c>
      <c r="DQ106" s="42">
        <f t="shared" si="108"/>
        <v>0</v>
      </c>
      <c r="DR106" s="42">
        <f t="shared" si="108"/>
        <v>0</v>
      </c>
      <c r="DS106" s="42">
        <f t="shared" si="108"/>
        <v>0</v>
      </c>
      <c r="DT106" s="42">
        <f t="shared" si="108"/>
        <v>0</v>
      </c>
      <c r="DU106" s="42">
        <f t="shared" si="108"/>
        <v>0</v>
      </c>
      <c r="DV106" s="42">
        <f t="shared" si="108"/>
        <v>0</v>
      </c>
      <c r="DW106" s="42">
        <f t="shared" si="109"/>
        <v>0</v>
      </c>
      <c r="DX106" s="42">
        <f t="shared" si="109"/>
        <v>0</v>
      </c>
      <c r="DY106" s="42"/>
      <c r="DZ106" s="42">
        <f t="shared" si="110"/>
        <v>0</v>
      </c>
      <c r="EB106" s="47">
        <f t="shared" si="62"/>
        <v>64000000</v>
      </c>
      <c r="EC106" s="47">
        <f t="shared" si="63"/>
        <v>64000000</v>
      </c>
      <c r="ED106" s="47">
        <f t="shared" si="64"/>
        <v>64000000</v>
      </c>
    </row>
    <row r="107" spans="1:136" s="73" customFormat="1" ht="33" customHeight="1" x14ac:dyDescent="0.3">
      <c r="A107" s="124"/>
      <c r="B107" s="95"/>
      <c r="C107" s="78" t="s">
        <v>305</v>
      </c>
      <c r="D107" s="50" t="s">
        <v>306</v>
      </c>
      <c r="E107" s="40">
        <v>301</v>
      </c>
      <c r="F107" s="41" t="s">
        <v>302</v>
      </c>
      <c r="G107" s="42">
        <f t="shared" si="99"/>
        <v>60000000</v>
      </c>
      <c r="H107" s="42">
        <v>15000000</v>
      </c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>
        <f>30000000+15000000</f>
        <v>45000000</v>
      </c>
      <c r="AB107" s="42"/>
      <c r="AC107" s="42"/>
      <c r="AD107" s="42"/>
      <c r="AE107" s="43">
        <f t="shared" si="86"/>
        <v>1</v>
      </c>
      <c r="AF107" s="42">
        <f t="shared" si="100"/>
        <v>60000000</v>
      </c>
      <c r="AG107" s="42">
        <f>+'[12]JULIO 2019'!$J$746</f>
        <v>15000000</v>
      </c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>
        <f>+'[7]MAYO 2019'!$AB$487</f>
        <v>45000000</v>
      </c>
      <c r="BA107" s="42"/>
      <c r="BB107" s="42"/>
      <c r="BC107" s="42"/>
      <c r="BD107" s="43">
        <f t="shared" si="59"/>
        <v>0</v>
      </c>
      <c r="BE107" s="42">
        <f t="shared" si="101"/>
        <v>0</v>
      </c>
      <c r="BF107" s="42">
        <f t="shared" si="102"/>
        <v>0</v>
      </c>
      <c r="BG107" s="42">
        <f t="shared" si="102"/>
        <v>0</v>
      </c>
      <c r="BH107" s="42">
        <f t="shared" si="102"/>
        <v>0</v>
      </c>
      <c r="BI107" s="42">
        <f t="shared" si="103"/>
        <v>0</v>
      </c>
      <c r="BJ107" s="42">
        <f t="shared" si="104"/>
        <v>0</v>
      </c>
      <c r="BK107" s="42">
        <f t="shared" si="104"/>
        <v>0</v>
      </c>
      <c r="BL107" s="42">
        <f t="shared" si="104"/>
        <v>0</v>
      </c>
      <c r="BM107" s="42">
        <f t="shared" si="104"/>
        <v>0</v>
      </c>
      <c r="BN107" s="42">
        <f t="shared" si="104"/>
        <v>0</v>
      </c>
      <c r="BO107" s="42">
        <f t="shared" si="104"/>
        <v>0</v>
      </c>
      <c r="BP107" s="42">
        <f t="shared" si="104"/>
        <v>0</v>
      </c>
      <c r="BQ107" s="42">
        <f t="shared" si="104"/>
        <v>0</v>
      </c>
      <c r="BR107" s="42">
        <f t="shared" si="104"/>
        <v>0</v>
      </c>
      <c r="BS107" s="42">
        <f t="shared" si="104"/>
        <v>0</v>
      </c>
      <c r="BT107" s="42">
        <f t="shared" si="105"/>
        <v>0</v>
      </c>
      <c r="BU107" s="42">
        <f t="shared" si="105"/>
        <v>0</v>
      </c>
      <c r="BV107" s="42">
        <f t="shared" si="105"/>
        <v>0</v>
      </c>
      <c r="BW107" s="42">
        <f t="shared" si="105"/>
        <v>0</v>
      </c>
      <c r="BX107" s="42">
        <f t="shared" si="105"/>
        <v>0</v>
      </c>
      <c r="BY107" s="42">
        <f t="shared" si="105"/>
        <v>0</v>
      </c>
      <c r="BZ107" s="42">
        <f t="shared" si="105"/>
        <v>0</v>
      </c>
      <c r="CA107" s="42"/>
      <c r="CB107" s="42">
        <f>AD107-BC107</f>
        <v>0</v>
      </c>
      <c r="CC107" s="43">
        <f t="shared" si="60"/>
        <v>1</v>
      </c>
      <c r="CD107" s="42">
        <f t="shared" si="106"/>
        <v>60000000</v>
      </c>
      <c r="CE107" s="42">
        <f>+'[1]OCTUBRE 2019'!$H$1170</f>
        <v>15000000</v>
      </c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>
        <f>+'[2]SEPTIEMBRE 2019'!$H$1022-'[2]SEPTIEMBRE 2019'!$H$1047</f>
        <v>45000000</v>
      </c>
      <c r="CY107" s="42"/>
      <c r="CZ107" s="42"/>
      <c r="DA107" s="42"/>
      <c r="DB107" s="43">
        <f t="shared" si="61"/>
        <v>0</v>
      </c>
      <c r="DC107" s="42">
        <f t="shared" si="81"/>
        <v>0</v>
      </c>
      <c r="DD107" s="42">
        <f t="shared" si="107"/>
        <v>0</v>
      </c>
      <c r="DE107" s="42">
        <f t="shared" si="107"/>
        <v>0</v>
      </c>
      <c r="DF107" s="42"/>
      <c r="DG107" s="42">
        <f t="shared" si="108"/>
        <v>0</v>
      </c>
      <c r="DH107" s="42">
        <f t="shared" si="108"/>
        <v>0</v>
      </c>
      <c r="DI107" s="42">
        <f t="shared" si="108"/>
        <v>0</v>
      </c>
      <c r="DJ107" s="42">
        <f t="shared" si="108"/>
        <v>0</v>
      </c>
      <c r="DK107" s="42">
        <f t="shared" si="108"/>
        <v>0</v>
      </c>
      <c r="DL107" s="42">
        <f t="shared" si="108"/>
        <v>0</v>
      </c>
      <c r="DM107" s="42">
        <f t="shared" si="108"/>
        <v>0</v>
      </c>
      <c r="DN107" s="42">
        <f t="shared" si="108"/>
        <v>0</v>
      </c>
      <c r="DO107" s="42">
        <f t="shared" si="108"/>
        <v>0</v>
      </c>
      <c r="DP107" s="42">
        <f t="shared" si="108"/>
        <v>0</v>
      </c>
      <c r="DQ107" s="42">
        <f t="shared" si="108"/>
        <v>0</v>
      </c>
      <c r="DR107" s="42">
        <f t="shared" si="108"/>
        <v>0</v>
      </c>
      <c r="DS107" s="42">
        <f t="shared" si="108"/>
        <v>0</v>
      </c>
      <c r="DT107" s="42">
        <f t="shared" si="108"/>
        <v>0</v>
      </c>
      <c r="DU107" s="42">
        <f t="shared" si="108"/>
        <v>0</v>
      </c>
      <c r="DV107" s="42">
        <f t="shared" si="108"/>
        <v>0</v>
      </c>
      <c r="DW107" s="42">
        <f t="shared" si="109"/>
        <v>0</v>
      </c>
      <c r="DX107" s="42">
        <f t="shared" si="109"/>
        <v>0</v>
      </c>
      <c r="DY107" s="42"/>
      <c r="DZ107" s="42">
        <f t="shared" si="110"/>
        <v>0</v>
      </c>
      <c r="EB107" s="47">
        <f t="shared" si="62"/>
        <v>60000000</v>
      </c>
      <c r="EC107" s="47">
        <f t="shared" si="63"/>
        <v>60000000</v>
      </c>
      <c r="ED107" s="47">
        <f t="shared" si="64"/>
        <v>60000000</v>
      </c>
    </row>
    <row r="108" spans="1:136" s="73" customFormat="1" ht="16.2" customHeight="1" x14ac:dyDescent="0.3">
      <c r="A108" s="124"/>
      <c r="B108" s="126"/>
      <c r="C108" s="78" t="s">
        <v>307</v>
      </c>
      <c r="D108" s="50" t="s">
        <v>308</v>
      </c>
      <c r="E108" s="40">
        <v>301</v>
      </c>
      <c r="F108" s="41" t="s">
        <v>302</v>
      </c>
      <c r="G108" s="42">
        <f t="shared" si="99"/>
        <v>0</v>
      </c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>
        <f>15000000-15000000</f>
        <v>0</v>
      </c>
      <c r="AB108" s="42"/>
      <c r="AC108" s="42"/>
      <c r="AD108" s="42"/>
      <c r="AE108" s="43" t="e">
        <f t="shared" si="86"/>
        <v>#DIV/0!</v>
      </c>
      <c r="AF108" s="42">
        <f t="shared" si="100"/>
        <v>0</v>
      </c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3" t="e">
        <f t="shared" si="59"/>
        <v>#DIV/0!</v>
      </c>
      <c r="BE108" s="42">
        <f t="shared" si="101"/>
        <v>0</v>
      </c>
      <c r="BF108" s="42"/>
      <c r="BG108" s="42"/>
      <c r="BH108" s="42"/>
      <c r="BI108" s="42">
        <f t="shared" si="103"/>
        <v>0</v>
      </c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>
        <f t="shared" si="105"/>
        <v>0</v>
      </c>
      <c r="BZ108" s="42"/>
      <c r="CA108" s="42"/>
      <c r="CB108" s="42"/>
      <c r="CC108" s="43"/>
      <c r="CD108" s="42">
        <f t="shared" si="106"/>
        <v>0</v>
      </c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3">
        <f t="shared" si="61"/>
        <v>1</v>
      </c>
      <c r="DC108" s="42">
        <f t="shared" si="81"/>
        <v>0</v>
      </c>
      <c r="DD108" s="42">
        <f t="shared" si="107"/>
        <v>0</v>
      </c>
      <c r="DE108" s="42">
        <f t="shared" si="107"/>
        <v>0</v>
      </c>
      <c r="DF108" s="42"/>
      <c r="DG108" s="42">
        <f t="shared" si="108"/>
        <v>0</v>
      </c>
      <c r="DH108" s="42">
        <f t="shared" si="108"/>
        <v>0</v>
      </c>
      <c r="DI108" s="42">
        <f t="shared" si="108"/>
        <v>0</v>
      </c>
      <c r="DJ108" s="42">
        <f t="shared" si="108"/>
        <v>0</v>
      </c>
      <c r="DK108" s="42">
        <f t="shared" si="108"/>
        <v>0</v>
      </c>
      <c r="DL108" s="42">
        <f t="shared" si="108"/>
        <v>0</v>
      </c>
      <c r="DM108" s="42">
        <f t="shared" si="108"/>
        <v>0</v>
      </c>
      <c r="DN108" s="42">
        <f t="shared" si="108"/>
        <v>0</v>
      </c>
      <c r="DO108" s="42">
        <f t="shared" si="108"/>
        <v>0</v>
      </c>
      <c r="DP108" s="42">
        <f t="shared" si="108"/>
        <v>0</v>
      </c>
      <c r="DQ108" s="42">
        <f t="shared" si="108"/>
        <v>0</v>
      </c>
      <c r="DR108" s="42">
        <f t="shared" si="108"/>
        <v>0</v>
      </c>
      <c r="DS108" s="42">
        <f t="shared" si="108"/>
        <v>0</v>
      </c>
      <c r="DT108" s="42">
        <f t="shared" si="108"/>
        <v>0</v>
      </c>
      <c r="DU108" s="42">
        <f t="shared" si="108"/>
        <v>0</v>
      </c>
      <c r="DV108" s="42">
        <f t="shared" si="108"/>
        <v>0</v>
      </c>
      <c r="DW108" s="42">
        <f t="shared" si="109"/>
        <v>0</v>
      </c>
      <c r="DX108" s="42">
        <f t="shared" si="109"/>
        <v>0</v>
      </c>
      <c r="DY108" s="42"/>
      <c r="DZ108" s="42">
        <f t="shared" si="110"/>
        <v>0</v>
      </c>
      <c r="EB108" s="47">
        <f t="shared" si="62"/>
        <v>0</v>
      </c>
      <c r="EC108" s="47">
        <f t="shared" si="63"/>
        <v>0</v>
      </c>
      <c r="ED108" s="47">
        <f t="shared" si="64"/>
        <v>0</v>
      </c>
    </row>
    <row r="109" spans="1:136" ht="16.2" customHeight="1" x14ac:dyDescent="0.3">
      <c r="A109" s="124"/>
      <c r="B109" s="109" t="s">
        <v>309</v>
      </c>
      <c r="C109" s="127" t="s">
        <v>310</v>
      </c>
      <c r="D109" s="50" t="s">
        <v>311</v>
      </c>
      <c r="E109" s="40">
        <v>301</v>
      </c>
      <c r="F109" s="41" t="s">
        <v>312</v>
      </c>
      <c r="G109" s="42">
        <f t="shared" si="99"/>
        <v>480654632</v>
      </c>
      <c r="H109" s="42">
        <f>15137846+35000000</f>
        <v>50137846</v>
      </c>
      <c r="I109" s="42">
        <f>180000000</f>
        <v>180000000</v>
      </c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>
        <f>14788955+60000000</f>
        <v>74788955</v>
      </c>
      <c r="AA109" s="42">
        <v>167968376</v>
      </c>
      <c r="AB109" s="42"/>
      <c r="AC109" s="42"/>
      <c r="AD109" s="42">
        <f>6759455+1000000</f>
        <v>7759455</v>
      </c>
      <c r="AE109" s="43">
        <f t="shared" si="86"/>
        <v>0.99029171948144257</v>
      </c>
      <c r="AF109" s="42">
        <f t="shared" si="100"/>
        <v>475988302</v>
      </c>
      <c r="AG109" s="42">
        <f>+'[3]NOVIEMBRE 2019'!$J$1322</f>
        <v>49805474</v>
      </c>
      <c r="AH109" s="42">
        <f>+'[3]NOVIEMBRE 2019'!$K$1322</f>
        <v>179513390</v>
      </c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>
        <f>+'[3]NOVIEMBRE 2019'!$AB$1322</f>
        <v>70941940</v>
      </c>
      <c r="AZ109" s="42">
        <f>+'[3]NOVIEMBRE 2019'!$AC$1322</f>
        <v>167968043</v>
      </c>
      <c r="BA109" s="42"/>
      <c r="BB109" s="42"/>
      <c r="BC109" s="42">
        <f>+'[1]OCTUBRE 2019'!$G$1210+'[1]OCTUBRE 2019'!$G$1263+'[1]OCTUBRE 2019'!$G$1272+'[1]OCTUBRE 2019'!$G$1273+'[1]OCTUBRE 2019'!$G$1296+'[1]OCTUBRE 2019'!$G$1297</f>
        <v>7759455</v>
      </c>
      <c r="BD109" s="43">
        <f t="shared" si="59"/>
        <v>9.7082805185574328E-3</v>
      </c>
      <c r="BE109" s="42">
        <f t="shared" si="101"/>
        <v>4666330</v>
      </c>
      <c r="BF109" s="42">
        <f t="shared" ref="BF109:BH116" si="111">H109-AG109</f>
        <v>332372</v>
      </c>
      <c r="BG109" s="42">
        <f t="shared" si="111"/>
        <v>486610</v>
      </c>
      <c r="BH109" s="42">
        <f t="shared" si="111"/>
        <v>0</v>
      </c>
      <c r="BI109" s="42">
        <f t="shared" si="103"/>
        <v>0</v>
      </c>
      <c r="BJ109" s="42">
        <f t="shared" ref="BJ109:BX120" si="112">L109-AK109</f>
        <v>0</v>
      </c>
      <c r="BK109" s="42">
        <f t="shared" si="112"/>
        <v>0</v>
      </c>
      <c r="BL109" s="42">
        <f t="shared" si="112"/>
        <v>0</v>
      </c>
      <c r="BM109" s="42">
        <f t="shared" si="112"/>
        <v>0</v>
      </c>
      <c r="BN109" s="42">
        <f t="shared" si="112"/>
        <v>0</v>
      </c>
      <c r="BO109" s="42">
        <f t="shared" si="112"/>
        <v>0</v>
      </c>
      <c r="BP109" s="42">
        <f t="shared" si="112"/>
        <v>0</v>
      </c>
      <c r="BQ109" s="42">
        <f t="shared" si="112"/>
        <v>0</v>
      </c>
      <c r="BR109" s="42">
        <f t="shared" si="112"/>
        <v>0</v>
      </c>
      <c r="BS109" s="42">
        <f t="shared" si="112"/>
        <v>0</v>
      </c>
      <c r="BT109" s="42">
        <f t="shared" si="112"/>
        <v>0</v>
      </c>
      <c r="BU109" s="42">
        <f t="shared" si="112"/>
        <v>0</v>
      </c>
      <c r="BV109" s="42">
        <f t="shared" si="112"/>
        <v>0</v>
      </c>
      <c r="BW109" s="42">
        <f t="shared" si="112"/>
        <v>0</v>
      </c>
      <c r="BX109" s="42">
        <f t="shared" si="112"/>
        <v>3847015</v>
      </c>
      <c r="BY109" s="42">
        <f t="shared" si="105"/>
        <v>333</v>
      </c>
      <c r="BZ109" s="42">
        <f t="shared" si="105"/>
        <v>0</v>
      </c>
      <c r="CA109" s="42"/>
      <c r="CB109" s="42">
        <f t="shared" ref="CB109:CB120" si="113">AD109-BC109</f>
        <v>0</v>
      </c>
      <c r="CC109" s="43">
        <f t="shared" ref="CC109:CC138" si="114">+CD109/G109</f>
        <v>0.84603113530382035</v>
      </c>
      <c r="CD109" s="42">
        <f t="shared" si="106"/>
        <v>406648784</v>
      </c>
      <c r="CE109" s="42">
        <f>+'[2]SEPTIEMBRE 2019'!$H$1134+'[2]SEPTIEMBRE 2019'!$H$1142+'[2]SEPTIEMBRE 2019'!$H$1157+'[2]SEPTIEMBRE 2019'!$H$1158</f>
        <v>49805474</v>
      </c>
      <c r="CF109" s="42">
        <f>+'[3]NOVIEMBRE 2019'!$H$1323+'[3]NOVIEMBRE 2019'!$H$1341+'[3]NOVIEMBRE 2019'!$H$1343+'[3]NOVIEMBRE 2019'!$H$1349+'[3]NOVIEMBRE 2019'!$H$1379</f>
        <v>177113390</v>
      </c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>
        <f>+'[3]NOVIEMBRE 2019'!$H$1423</f>
        <v>10941940</v>
      </c>
      <c r="CX109" s="42">
        <f>+'[3]NOVIEMBRE 2019'!$H$1346+'[3]NOVIEMBRE 2019'!$H$1348+'[3]NOVIEMBRE 2019'!$H$1351+'[3]NOVIEMBRE 2019'!$H$1354+'[3]NOVIEMBRE 2019'!$H$1358+'[3]NOVIEMBRE 2019'!$H$1362+'[3]NOVIEMBRE 2019'!$H$1373+'[3]NOVIEMBRE 2019'!$H$1387+'[3]NOVIEMBRE 2019'!$H$1401+'[3]NOVIEMBRE 2019'!$H$1416</f>
        <v>164658543</v>
      </c>
      <c r="CY109" s="42"/>
      <c r="CZ109" s="42"/>
      <c r="DA109" s="42">
        <f>+'[3]NOVIEMBRE 2019'!$H$1393+'[3]NOVIEMBRE 2019'!$H$1403+'[3]NOVIEMBRE 2019'!$H$1428+'[3]NOVIEMBRE 2019'!$H$1431</f>
        <v>4129437</v>
      </c>
      <c r="DB109" s="43">
        <f t="shared" si="61"/>
        <v>0.15396886469617965</v>
      </c>
      <c r="DC109" s="42">
        <f t="shared" si="81"/>
        <v>74005848</v>
      </c>
      <c r="DD109" s="42">
        <f t="shared" si="107"/>
        <v>332372</v>
      </c>
      <c r="DE109" s="42">
        <f t="shared" si="107"/>
        <v>2886610</v>
      </c>
      <c r="DF109" s="42">
        <f>J109-CG109</f>
        <v>0</v>
      </c>
      <c r="DG109" s="42">
        <f t="shared" si="108"/>
        <v>0</v>
      </c>
      <c r="DH109" s="42">
        <f t="shared" si="108"/>
        <v>0</v>
      </c>
      <c r="DI109" s="42">
        <f t="shared" si="108"/>
        <v>0</v>
      </c>
      <c r="DJ109" s="42">
        <f t="shared" si="108"/>
        <v>0</v>
      </c>
      <c r="DK109" s="42">
        <f t="shared" si="108"/>
        <v>0</v>
      </c>
      <c r="DL109" s="42">
        <f t="shared" si="108"/>
        <v>0</v>
      </c>
      <c r="DM109" s="42">
        <f t="shared" si="108"/>
        <v>0</v>
      </c>
      <c r="DN109" s="42">
        <f t="shared" si="108"/>
        <v>0</v>
      </c>
      <c r="DO109" s="42">
        <f t="shared" si="108"/>
        <v>0</v>
      </c>
      <c r="DP109" s="42">
        <f t="shared" si="108"/>
        <v>0</v>
      </c>
      <c r="DQ109" s="42">
        <f t="shared" si="108"/>
        <v>0</v>
      </c>
      <c r="DR109" s="42">
        <f t="shared" si="108"/>
        <v>0</v>
      </c>
      <c r="DS109" s="42">
        <f t="shared" si="108"/>
        <v>0</v>
      </c>
      <c r="DT109" s="42">
        <f t="shared" si="108"/>
        <v>0</v>
      </c>
      <c r="DU109" s="42">
        <f t="shared" si="108"/>
        <v>0</v>
      </c>
      <c r="DV109" s="42">
        <f t="shared" si="108"/>
        <v>63847015</v>
      </c>
      <c r="DW109" s="42">
        <f t="shared" si="109"/>
        <v>3309833</v>
      </c>
      <c r="DX109" s="42">
        <f t="shared" si="109"/>
        <v>0</v>
      </c>
      <c r="DY109" s="42"/>
      <c r="DZ109" s="42">
        <f t="shared" si="110"/>
        <v>3630018</v>
      </c>
      <c r="EB109" s="47">
        <f t="shared" si="62"/>
        <v>480654632</v>
      </c>
      <c r="EC109" s="47">
        <f t="shared" si="63"/>
        <v>480654632</v>
      </c>
      <c r="ED109" s="47">
        <f t="shared" si="64"/>
        <v>480654632</v>
      </c>
      <c r="EF109" s="63"/>
    </row>
    <row r="110" spans="1:136" ht="19.2" customHeight="1" x14ac:dyDescent="0.3">
      <c r="A110" s="124"/>
      <c r="B110" s="87" t="s">
        <v>313</v>
      </c>
      <c r="C110" s="78" t="s">
        <v>314</v>
      </c>
      <c r="D110" s="39" t="s">
        <v>315</v>
      </c>
      <c r="E110" s="40">
        <v>301</v>
      </c>
      <c r="F110" s="41" t="s">
        <v>312</v>
      </c>
      <c r="G110" s="42">
        <f t="shared" si="99"/>
        <v>393609249</v>
      </c>
      <c r="H110" s="42"/>
      <c r="I110" s="42"/>
      <c r="J110" s="42"/>
      <c r="K110" s="42"/>
      <c r="L110" s="42"/>
      <c r="M110" s="42">
        <v>208000000</v>
      </c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>
        <v>100000000</v>
      </c>
      <c r="Y110" s="42">
        <v>32712008</v>
      </c>
      <c r="Z110" s="42">
        <f>40000000</f>
        <v>40000000</v>
      </c>
      <c r="AA110" s="42"/>
      <c r="AB110" s="42"/>
      <c r="AC110" s="42"/>
      <c r="AD110" s="42">
        <f>12000000+1000000-102759</f>
        <v>12897241</v>
      </c>
      <c r="AE110" s="43">
        <f t="shared" si="86"/>
        <v>0.97575597366107625</v>
      </c>
      <c r="AF110" s="42">
        <f t="shared" si="100"/>
        <v>384066576</v>
      </c>
      <c r="AG110" s="42"/>
      <c r="AH110" s="42"/>
      <c r="AI110" s="42"/>
      <c r="AJ110" s="42"/>
      <c r="AK110" s="42"/>
      <c r="AL110" s="42">
        <f>+'[3]NOVIEMBRE 2019'!$O$1439</f>
        <v>200411327</v>
      </c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>
        <f>+'[3]NOVIEMBRE 2019'!$Z$1439</f>
        <v>98046000</v>
      </c>
      <c r="AX110" s="42">
        <f>+'[12]JULIO 2019'!$Z$855</f>
        <v>32712008</v>
      </c>
      <c r="AY110" s="42">
        <f>+'[2]SEPTIEMBRE 2019'!$AB$1171</f>
        <v>40000000</v>
      </c>
      <c r="AZ110" s="42"/>
      <c r="BA110" s="42"/>
      <c r="BB110" s="42"/>
      <c r="BC110" s="42">
        <f>+'[2]SEPTIEMBRE 2019'!$AG$1171</f>
        <v>12897241</v>
      </c>
      <c r="BD110" s="43">
        <f t="shared" si="59"/>
        <v>2.4244026338923752E-2</v>
      </c>
      <c r="BE110" s="42">
        <f t="shared" si="101"/>
        <v>9542673</v>
      </c>
      <c r="BF110" s="42">
        <f t="shared" si="111"/>
        <v>0</v>
      </c>
      <c r="BG110" s="42">
        <f t="shared" si="111"/>
        <v>0</v>
      </c>
      <c r="BH110" s="42">
        <f t="shared" si="111"/>
        <v>0</v>
      </c>
      <c r="BI110" s="42">
        <f t="shared" si="103"/>
        <v>0</v>
      </c>
      <c r="BJ110" s="42">
        <f t="shared" si="112"/>
        <v>0</v>
      </c>
      <c r="BK110" s="42">
        <f t="shared" si="112"/>
        <v>7588673</v>
      </c>
      <c r="BL110" s="42">
        <f t="shared" si="112"/>
        <v>0</v>
      </c>
      <c r="BM110" s="42">
        <f t="shared" si="112"/>
        <v>0</v>
      </c>
      <c r="BN110" s="42">
        <f t="shared" si="112"/>
        <v>0</v>
      </c>
      <c r="BO110" s="42">
        <f t="shared" si="112"/>
        <v>0</v>
      </c>
      <c r="BP110" s="42">
        <f t="shared" si="112"/>
        <v>0</v>
      </c>
      <c r="BQ110" s="42">
        <f t="shared" si="112"/>
        <v>0</v>
      </c>
      <c r="BR110" s="42">
        <f t="shared" si="112"/>
        <v>0</v>
      </c>
      <c r="BS110" s="42">
        <f t="shared" si="112"/>
        <v>0</v>
      </c>
      <c r="BT110" s="42">
        <f t="shared" si="112"/>
        <v>0</v>
      </c>
      <c r="BU110" s="42">
        <f t="shared" si="112"/>
        <v>0</v>
      </c>
      <c r="BV110" s="42">
        <f t="shared" si="112"/>
        <v>1954000</v>
      </c>
      <c r="BW110" s="42">
        <f t="shared" si="112"/>
        <v>0</v>
      </c>
      <c r="BX110" s="42">
        <f t="shared" si="112"/>
        <v>0</v>
      </c>
      <c r="BY110" s="42">
        <f t="shared" si="105"/>
        <v>0</v>
      </c>
      <c r="BZ110" s="42">
        <f t="shared" si="105"/>
        <v>0</v>
      </c>
      <c r="CA110" s="42"/>
      <c r="CB110" s="42">
        <f t="shared" si="113"/>
        <v>0</v>
      </c>
      <c r="CC110" s="43">
        <f t="shared" si="114"/>
        <v>0.96863867139463489</v>
      </c>
      <c r="CD110" s="42">
        <f t="shared" si="106"/>
        <v>381265140</v>
      </c>
      <c r="CE110" s="42"/>
      <c r="CF110" s="42"/>
      <c r="CG110" s="42"/>
      <c r="CH110" s="42"/>
      <c r="CI110" s="42"/>
      <c r="CJ110" s="42">
        <f>+'[2]SEPTIEMBRE 2019'!$H$1172+'[2]SEPTIEMBRE 2019'!$O$1233-2</f>
        <v>205876669</v>
      </c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>
        <f>+'[1]OCTUBRE 2019'!$H$1332+'[1]OCTUBRE 2019'!$H$1335+'[1]OCTUBRE 2019'!$H$1340+'[1]OCTUBRE 2019'!$H$1343+'[1]OCTUBRE 2019'!$H$1352+'[1]OCTUBRE 2019'!$H$1355+'[1]OCTUBRE 2019'!$H$1359+'[1]OCTUBRE 2019'!$H$1362+'[1]OCTUBRE 2019'!$Z$1367</f>
        <v>96846000</v>
      </c>
      <c r="CV110" s="42">
        <f>+'[1]OCTUBRE 2019'!$AA$1367-'[1]OCTUBRE 2019'!$I$1367</f>
        <v>27246666</v>
      </c>
      <c r="CW110" s="42">
        <f>+'[1]OCTUBRE 2019'!$H$1392</f>
        <v>40000000</v>
      </c>
      <c r="CX110" s="42"/>
      <c r="CY110" s="42"/>
      <c r="CZ110" s="42"/>
      <c r="DA110" s="42">
        <f>+'[1]OCTUBRE 2019'!$H$1329+'[1]OCTUBRE 2019'!$H$1348+'[1]OCTUBRE 2019'!$H$1365+'[1]OCTUBRE 2019'!$H$1386</f>
        <v>11295805</v>
      </c>
      <c r="DB110" s="43">
        <f t="shared" si="61"/>
        <v>3.1361328605365113E-2</v>
      </c>
      <c r="DC110" s="42">
        <f t="shared" si="81"/>
        <v>12344109</v>
      </c>
      <c r="DD110" s="42">
        <f t="shared" si="107"/>
        <v>0</v>
      </c>
      <c r="DE110" s="42">
        <f t="shared" si="107"/>
        <v>0</v>
      </c>
      <c r="DF110" s="42"/>
      <c r="DG110" s="42">
        <f t="shared" si="108"/>
        <v>0</v>
      </c>
      <c r="DH110" s="42">
        <f t="shared" si="108"/>
        <v>0</v>
      </c>
      <c r="DI110" s="42">
        <f t="shared" si="108"/>
        <v>2123331</v>
      </c>
      <c r="DJ110" s="42">
        <f t="shared" si="108"/>
        <v>0</v>
      </c>
      <c r="DK110" s="42">
        <f t="shared" si="108"/>
        <v>0</v>
      </c>
      <c r="DL110" s="42">
        <f t="shared" si="108"/>
        <v>0</v>
      </c>
      <c r="DM110" s="42">
        <f t="shared" si="108"/>
        <v>0</v>
      </c>
      <c r="DN110" s="42">
        <f t="shared" si="108"/>
        <v>0</v>
      </c>
      <c r="DO110" s="42">
        <f t="shared" si="108"/>
        <v>0</v>
      </c>
      <c r="DP110" s="42">
        <f t="shared" si="108"/>
        <v>0</v>
      </c>
      <c r="DQ110" s="42">
        <f t="shared" si="108"/>
        <v>0</v>
      </c>
      <c r="DR110" s="42">
        <f t="shared" si="108"/>
        <v>0</v>
      </c>
      <c r="DS110" s="42">
        <f t="shared" si="108"/>
        <v>0</v>
      </c>
      <c r="DT110" s="42">
        <f t="shared" si="108"/>
        <v>3154000</v>
      </c>
      <c r="DU110" s="42">
        <f t="shared" si="108"/>
        <v>5465342</v>
      </c>
      <c r="DV110" s="42">
        <f t="shared" si="108"/>
        <v>0</v>
      </c>
      <c r="DW110" s="42">
        <f t="shared" si="109"/>
        <v>0</v>
      </c>
      <c r="DX110" s="42">
        <f t="shared" si="109"/>
        <v>0</v>
      </c>
      <c r="DY110" s="42"/>
      <c r="DZ110" s="42">
        <f t="shared" si="110"/>
        <v>1601436</v>
      </c>
      <c r="EB110" s="47">
        <f t="shared" si="62"/>
        <v>393609249</v>
      </c>
      <c r="EC110" s="47">
        <f t="shared" si="63"/>
        <v>393609249</v>
      </c>
      <c r="ED110" s="47">
        <f t="shared" si="64"/>
        <v>393609249</v>
      </c>
    </row>
    <row r="111" spans="1:136" ht="30" customHeight="1" x14ac:dyDescent="0.3">
      <c r="A111" s="124"/>
      <c r="B111" s="83" t="s">
        <v>316</v>
      </c>
      <c r="C111" s="78" t="s">
        <v>317</v>
      </c>
      <c r="D111" s="39" t="s">
        <v>318</v>
      </c>
      <c r="E111" s="40">
        <v>301</v>
      </c>
      <c r="F111" s="41" t="s">
        <v>319</v>
      </c>
      <c r="G111" s="42">
        <f t="shared" si="99"/>
        <v>184833400</v>
      </c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>
        <v>50000000</v>
      </c>
      <c r="AB111" s="42"/>
      <c r="AC111" s="42"/>
      <c r="AD111" s="42">
        <f>72963935+8272669+25096796+15000000+1500000+12000000</f>
        <v>134833400</v>
      </c>
      <c r="AE111" s="43">
        <f t="shared" si="86"/>
        <v>0.95200923642588409</v>
      </c>
      <c r="AF111" s="42">
        <f t="shared" si="100"/>
        <v>175963104</v>
      </c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>
        <f>+'[7]MAYO 2019'!$AB$617</f>
        <v>49997500</v>
      </c>
      <c r="BA111" s="42"/>
      <c r="BB111" s="42"/>
      <c r="BC111" s="42">
        <f>+'[3]NOVIEMBRE 2019'!$AG$1533</f>
        <v>125965604</v>
      </c>
      <c r="BD111" s="43">
        <f t="shared" si="59"/>
        <v>4.7990763574115913E-2</v>
      </c>
      <c r="BE111" s="42">
        <f t="shared" si="101"/>
        <v>8870296</v>
      </c>
      <c r="BF111" s="42">
        <f t="shared" si="111"/>
        <v>0</v>
      </c>
      <c r="BG111" s="42">
        <f t="shared" si="111"/>
        <v>0</v>
      </c>
      <c r="BH111" s="42">
        <f t="shared" si="111"/>
        <v>0</v>
      </c>
      <c r="BI111" s="42">
        <f t="shared" si="103"/>
        <v>0</v>
      </c>
      <c r="BJ111" s="42">
        <f t="shared" si="112"/>
        <v>0</v>
      </c>
      <c r="BK111" s="42">
        <f t="shared" si="112"/>
        <v>0</v>
      </c>
      <c r="BL111" s="42">
        <f t="shared" si="112"/>
        <v>0</v>
      </c>
      <c r="BM111" s="42">
        <f t="shared" si="112"/>
        <v>0</v>
      </c>
      <c r="BN111" s="42">
        <f t="shared" si="112"/>
        <v>0</v>
      </c>
      <c r="BO111" s="42">
        <f t="shared" si="112"/>
        <v>0</v>
      </c>
      <c r="BP111" s="42">
        <f t="shared" si="112"/>
        <v>0</v>
      </c>
      <c r="BQ111" s="42">
        <f t="shared" si="112"/>
        <v>0</v>
      </c>
      <c r="BR111" s="42">
        <f t="shared" si="112"/>
        <v>0</v>
      </c>
      <c r="BS111" s="42">
        <f t="shared" si="112"/>
        <v>0</v>
      </c>
      <c r="BT111" s="42">
        <f t="shared" si="112"/>
        <v>0</v>
      </c>
      <c r="BU111" s="42">
        <f t="shared" si="112"/>
        <v>0</v>
      </c>
      <c r="BV111" s="42">
        <f t="shared" si="112"/>
        <v>0</v>
      </c>
      <c r="BW111" s="42">
        <f t="shared" si="112"/>
        <v>0</v>
      </c>
      <c r="BX111" s="42">
        <f t="shared" si="112"/>
        <v>0</v>
      </c>
      <c r="BY111" s="42">
        <f t="shared" si="105"/>
        <v>2500</v>
      </c>
      <c r="BZ111" s="42">
        <f t="shared" si="105"/>
        <v>0</v>
      </c>
      <c r="CA111" s="42"/>
      <c r="CB111" s="42">
        <f t="shared" si="113"/>
        <v>8867796</v>
      </c>
      <c r="CC111" s="43">
        <f t="shared" si="114"/>
        <v>0.71783926498132911</v>
      </c>
      <c r="CD111" s="42">
        <f t="shared" si="106"/>
        <v>132680672</v>
      </c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>
        <f>+'[3]NOVIEMBRE 2019'!$H$1542+'[3]NOVIEMBRE 2019'!$H$1546+'[3]NOVIEMBRE 2019'!$H$1549</f>
        <v>49997500</v>
      </c>
      <c r="CY111" s="42"/>
      <c r="CZ111" s="42"/>
      <c r="DA111" s="42">
        <f>+'[3]NOVIEMBRE 2019'!$H$1534+'[3]NOVIEMBRE 2019'!$H$1551+'[3]NOVIEMBRE 2019'!$H$1553+'[3]NOVIEMBRE 2019'!$H$1556+'[3]NOVIEMBRE 2019'!$H$1558+'[3]NOVIEMBRE 2019'!$H$1561+'[3]NOVIEMBRE 2019'!$H$1564+'[3]NOVIEMBRE 2019'!$H$1567+'[3]NOVIEMBRE 2019'!$H$1570+'[3]NOVIEMBRE 2019'!$H$1572</f>
        <v>82683172</v>
      </c>
      <c r="DB111" s="43">
        <f t="shared" si="61"/>
        <v>0.28216073501867089</v>
      </c>
      <c r="DC111" s="42">
        <f t="shared" si="81"/>
        <v>52152728</v>
      </c>
      <c r="DD111" s="42">
        <f t="shared" si="107"/>
        <v>0</v>
      </c>
      <c r="DE111" s="42">
        <f t="shared" si="107"/>
        <v>0</v>
      </c>
      <c r="DF111" s="42">
        <f>J111-CG111</f>
        <v>0</v>
      </c>
      <c r="DG111" s="42">
        <f t="shared" si="108"/>
        <v>0</v>
      </c>
      <c r="DH111" s="42">
        <f t="shared" si="108"/>
        <v>0</v>
      </c>
      <c r="DI111" s="42">
        <f t="shared" si="108"/>
        <v>0</v>
      </c>
      <c r="DJ111" s="42">
        <f t="shared" si="108"/>
        <v>0</v>
      </c>
      <c r="DK111" s="42">
        <f t="shared" si="108"/>
        <v>0</v>
      </c>
      <c r="DL111" s="42">
        <f t="shared" si="108"/>
        <v>0</v>
      </c>
      <c r="DM111" s="42">
        <f t="shared" si="108"/>
        <v>0</v>
      </c>
      <c r="DN111" s="42">
        <f t="shared" si="108"/>
        <v>0</v>
      </c>
      <c r="DO111" s="42">
        <f t="shared" si="108"/>
        <v>0</v>
      </c>
      <c r="DP111" s="42">
        <f t="shared" si="108"/>
        <v>0</v>
      </c>
      <c r="DQ111" s="42">
        <f t="shared" si="108"/>
        <v>0</v>
      </c>
      <c r="DR111" s="42">
        <f t="shared" si="108"/>
        <v>0</v>
      </c>
      <c r="DS111" s="42">
        <f t="shared" si="108"/>
        <v>0</v>
      </c>
      <c r="DT111" s="42">
        <f t="shared" si="108"/>
        <v>0</v>
      </c>
      <c r="DU111" s="42">
        <f t="shared" si="108"/>
        <v>0</v>
      </c>
      <c r="DV111" s="42">
        <f t="shared" si="108"/>
        <v>0</v>
      </c>
      <c r="DW111" s="42">
        <f t="shared" si="109"/>
        <v>2500</v>
      </c>
      <c r="DX111" s="42">
        <f t="shared" si="109"/>
        <v>0</v>
      </c>
      <c r="DY111" s="42"/>
      <c r="DZ111" s="42">
        <f t="shared" si="110"/>
        <v>52150228</v>
      </c>
      <c r="EB111" s="47">
        <f t="shared" si="62"/>
        <v>184833400</v>
      </c>
      <c r="EC111" s="47">
        <f t="shared" si="63"/>
        <v>184833400</v>
      </c>
      <c r="ED111" s="47">
        <f t="shared" si="64"/>
        <v>184833400</v>
      </c>
    </row>
    <row r="112" spans="1:136" ht="44.4" customHeight="1" x14ac:dyDescent="0.3">
      <c r="A112" s="124"/>
      <c r="B112" s="86"/>
      <c r="C112" s="78" t="s">
        <v>320</v>
      </c>
      <c r="D112" s="50" t="s">
        <v>321</v>
      </c>
      <c r="E112" s="40">
        <v>301</v>
      </c>
      <c r="F112" s="41" t="s">
        <v>302</v>
      </c>
      <c r="G112" s="42">
        <f t="shared" si="99"/>
        <v>15000000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>
        <v>15000000</v>
      </c>
      <c r="AB112" s="42"/>
      <c r="AC112" s="42"/>
      <c r="AD112" s="42"/>
      <c r="AE112" s="43">
        <f t="shared" si="86"/>
        <v>0.91977773333333335</v>
      </c>
      <c r="AF112" s="42">
        <f t="shared" si="100"/>
        <v>13796666</v>
      </c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>
        <f>+'[3]NOVIEMBRE 2019'!$AC$1581</f>
        <v>13796666</v>
      </c>
      <c r="BA112" s="42"/>
      <c r="BB112" s="42"/>
      <c r="BC112" s="42"/>
      <c r="BD112" s="43">
        <f t="shared" si="59"/>
        <v>8.0222266666666653E-2</v>
      </c>
      <c r="BE112" s="42">
        <f t="shared" si="101"/>
        <v>1203334</v>
      </c>
      <c r="BF112" s="42">
        <f t="shared" si="111"/>
        <v>0</v>
      </c>
      <c r="BG112" s="42">
        <f t="shared" si="111"/>
        <v>0</v>
      </c>
      <c r="BH112" s="42">
        <f t="shared" si="111"/>
        <v>0</v>
      </c>
      <c r="BI112" s="42">
        <f t="shared" si="103"/>
        <v>0</v>
      </c>
      <c r="BJ112" s="42">
        <f t="shared" si="112"/>
        <v>0</v>
      </c>
      <c r="BK112" s="42">
        <f t="shared" si="112"/>
        <v>0</v>
      </c>
      <c r="BL112" s="42">
        <f t="shared" si="112"/>
        <v>0</v>
      </c>
      <c r="BM112" s="42">
        <f t="shared" si="112"/>
        <v>0</v>
      </c>
      <c r="BN112" s="42">
        <f t="shared" si="112"/>
        <v>0</v>
      </c>
      <c r="BO112" s="42">
        <f t="shared" si="112"/>
        <v>0</v>
      </c>
      <c r="BP112" s="42">
        <f t="shared" si="112"/>
        <v>0</v>
      </c>
      <c r="BQ112" s="42">
        <f t="shared" si="112"/>
        <v>0</v>
      </c>
      <c r="BR112" s="42">
        <f t="shared" si="112"/>
        <v>0</v>
      </c>
      <c r="BS112" s="42">
        <f t="shared" si="112"/>
        <v>0</v>
      </c>
      <c r="BT112" s="42">
        <f t="shared" si="112"/>
        <v>0</v>
      </c>
      <c r="BU112" s="42">
        <f t="shared" si="112"/>
        <v>0</v>
      </c>
      <c r="BV112" s="42">
        <f t="shared" si="112"/>
        <v>0</v>
      </c>
      <c r="BW112" s="42">
        <f t="shared" si="112"/>
        <v>0</v>
      </c>
      <c r="BX112" s="42">
        <f t="shared" si="112"/>
        <v>0</v>
      </c>
      <c r="BY112" s="42">
        <f t="shared" si="105"/>
        <v>1203334</v>
      </c>
      <c r="BZ112" s="42">
        <f t="shared" si="105"/>
        <v>0</v>
      </c>
      <c r="CA112" s="42"/>
      <c r="CB112" s="42">
        <f t="shared" si="113"/>
        <v>0</v>
      </c>
      <c r="CC112" s="43">
        <f t="shared" si="114"/>
        <v>0.91977773333333335</v>
      </c>
      <c r="CD112" s="42">
        <f t="shared" si="106"/>
        <v>13796666</v>
      </c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>
        <f>+'[3]NOVIEMBRE 2019'!$H$1579</f>
        <v>13796666</v>
      </c>
      <c r="CY112" s="42"/>
      <c r="CZ112" s="42"/>
      <c r="DA112" s="42"/>
      <c r="DB112" s="43">
        <f t="shared" si="61"/>
        <v>8.0222266666666653E-2</v>
      </c>
      <c r="DC112" s="42">
        <f t="shared" si="81"/>
        <v>1203334</v>
      </c>
      <c r="DD112" s="42">
        <f t="shared" si="107"/>
        <v>0</v>
      </c>
      <c r="DE112" s="42">
        <f t="shared" si="107"/>
        <v>0</v>
      </c>
      <c r="DF112" s="42"/>
      <c r="DG112" s="42">
        <f t="shared" si="108"/>
        <v>0</v>
      </c>
      <c r="DH112" s="42">
        <f t="shared" si="108"/>
        <v>0</v>
      </c>
      <c r="DI112" s="42">
        <f t="shared" si="108"/>
        <v>0</v>
      </c>
      <c r="DJ112" s="42">
        <f t="shared" si="108"/>
        <v>0</v>
      </c>
      <c r="DK112" s="42">
        <f t="shared" si="108"/>
        <v>0</v>
      </c>
      <c r="DL112" s="42">
        <f t="shared" si="108"/>
        <v>0</v>
      </c>
      <c r="DM112" s="42">
        <f t="shared" si="108"/>
        <v>0</v>
      </c>
      <c r="DN112" s="42">
        <f t="shared" si="108"/>
        <v>0</v>
      </c>
      <c r="DO112" s="42">
        <f t="shared" si="108"/>
        <v>0</v>
      </c>
      <c r="DP112" s="42">
        <f t="shared" si="108"/>
        <v>0</v>
      </c>
      <c r="DQ112" s="42">
        <f t="shared" si="108"/>
        <v>0</v>
      </c>
      <c r="DR112" s="42">
        <f t="shared" si="108"/>
        <v>0</v>
      </c>
      <c r="DS112" s="42">
        <f t="shared" si="108"/>
        <v>0</v>
      </c>
      <c r="DT112" s="42">
        <f t="shared" si="108"/>
        <v>0</v>
      </c>
      <c r="DU112" s="42">
        <f t="shared" si="108"/>
        <v>0</v>
      </c>
      <c r="DV112" s="42">
        <f t="shared" si="108"/>
        <v>0</v>
      </c>
      <c r="DW112" s="42">
        <f t="shared" si="109"/>
        <v>1203334</v>
      </c>
      <c r="DX112" s="42">
        <f t="shared" si="109"/>
        <v>0</v>
      </c>
      <c r="DY112" s="42"/>
      <c r="DZ112" s="42">
        <f t="shared" si="110"/>
        <v>0</v>
      </c>
      <c r="EB112" s="47">
        <f t="shared" si="62"/>
        <v>15000000</v>
      </c>
      <c r="EC112" s="47">
        <f t="shared" si="63"/>
        <v>15000000</v>
      </c>
      <c r="ED112" s="47">
        <f t="shared" si="64"/>
        <v>15000000</v>
      </c>
    </row>
    <row r="113" spans="1:136" ht="41.4" customHeight="1" x14ac:dyDescent="0.3">
      <c r="A113" s="124"/>
      <c r="B113" s="128"/>
      <c r="C113" s="78" t="s">
        <v>322</v>
      </c>
      <c r="D113" s="50" t="s">
        <v>323</v>
      </c>
      <c r="E113" s="40">
        <v>301</v>
      </c>
      <c r="F113" s="41" t="s">
        <v>302</v>
      </c>
      <c r="G113" s="42">
        <f t="shared" si="99"/>
        <v>2313284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>
        <v>2313284</v>
      </c>
      <c r="AB113" s="42"/>
      <c r="AC113" s="42"/>
      <c r="AD113" s="42"/>
      <c r="AE113" s="43">
        <f t="shared" si="86"/>
        <v>1</v>
      </c>
      <c r="AF113" s="42">
        <f t="shared" si="100"/>
        <v>2313284</v>
      </c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>
        <f>+'[6]MARZO 2019'!$AB$405</f>
        <v>2313284</v>
      </c>
      <c r="BA113" s="42"/>
      <c r="BB113" s="42"/>
      <c r="BC113" s="42"/>
      <c r="BD113" s="43">
        <f t="shared" si="59"/>
        <v>0</v>
      </c>
      <c r="BE113" s="42">
        <f t="shared" si="101"/>
        <v>0</v>
      </c>
      <c r="BF113" s="42">
        <f t="shared" si="111"/>
        <v>0</v>
      </c>
      <c r="BG113" s="42">
        <f t="shared" si="111"/>
        <v>0</v>
      </c>
      <c r="BH113" s="42">
        <f t="shared" si="111"/>
        <v>0</v>
      </c>
      <c r="BI113" s="42">
        <f t="shared" si="103"/>
        <v>0</v>
      </c>
      <c r="BJ113" s="42">
        <f t="shared" si="112"/>
        <v>0</v>
      </c>
      <c r="BK113" s="42">
        <f t="shared" si="112"/>
        <v>0</v>
      </c>
      <c r="BL113" s="42">
        <f t="shared" si="112"/>
        <v>0</v>
      </c>
      <c r="BM113" s="42">
        <f t="shared" si="112"/>
        <v>0</v>
      </c>
      <c r="BN113" s="42">
        <f t="shared" si="112"/>
        <v>0</v>
      </c>
      <c r="BO113" s="42">
        <f t="shared" si="112"/>
        <v>0</v>
      </c>
      <c r="BP113" s="42">
        <f t="shared" si="112"/>
        <v>0</v>
      </c>
      <c r="BQ113" s="42">
        <f t="shared" si="112"/>
        <v>0</v>
      </c>
      <c r="BR113" s="42">
        <f t="shared" si="112"/>
        <v>0</v>
      </c>
      <c r="BS113" s="42">
        <f t="shared" si="112"/>
        <v>0</v>
      </c>
      <c r="BT113" s="42">
        <f t="shared" si="112"/>
        <v>0</v>
      </c>
      <c r="BU113" s="42">
        <f t="shared" si="112"/>
        <v>0</v>
      </c>
      <c r="BV113" s="42">
        <f t="shared" si="112"/>
        <v>0</v>
      </c>
      <c r="BW113" s="42">
        <f t="shared" si="112"/>
        <v>0</v>
      </c>
      <c r="BX113" s="42">
        <f t="shared" si="112"/>
        <v>0</v>
      </c>
      <c r="BY113" s="42">
        <f t="shared" si="105"/>
        <v>0</v>
      </c>
      <c r="BZ113" s="42">
        <f t="shared" si="105"/>
        <v>0</v>
      </c>
      <c r="CA113" s="42"/>
      <c r="CB113" s="42">
        <f t="shared" si="113"/>
        <v>0</v>
      </c>
      <c r="CC113" s="43">
        <f t="shared" si="114"/>
        <v>0</v>
      </c>
      <c r="CD113" s="42">
        <f t="shared" si="106"/>
        <v>0</v>
      </c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3">
        <f t="shared" si="61"/>
        <v>1</v>
      </c>
      <c r="DC113" s="42">
        <f t="shared" si="81"/>
        <v>2313284</v>
      </c>
      <c r="DD113" s="42">
        <f t="shared" si="107"/>
        <v>0</v>
      </c>
      <c r="DE113" s="42">
        <f t="shared" si="107"/>
        <v>0</v>
      </c>
      <c r="DF113" s="42"/>
      <c r="DG113" s="42">
        <f t="shared" si="108"/>
        <v>0</v>
      </c>
      <c r="DH113" s="42">
        <f t="shared" si="108"/>
        <v>0</v>
      </c>
      <c r="DI113" s="42">
        <f t="shared" si="108"/>
        <v>0</v>
      </c>
      <c r="DJ113" s="42">
        <f t="shared" si="108"/>
        <v>0</v>
      </c>
      <c r="DK113" s="42">
        <f t="shared" si="108"/>
        <v>0</v>
      </c>
      <c r="DL113" s="42">
        <f t="shared" si="108"/>
        <v>0</v>
      </c>
      <c r="DM113" s="42">
        <f t="shared" si="108"/>
        <v>0</v>
      </c>
      <c r="DN113" s="42">
        <f t="shared" si="108"/>
        <v>0</v>
      </c>
      <c r="DO113" s="42">
        <f t="shared" si="108"/>
        <v>0</v>
      </c>
      <c r="DP113" s="42">
        <f t="shared" si="108"/>
        <v>0</v>
      </c>
      <c r="DQ113" s="42">
        <f t="shared" si="108"/>
        <v>0</v>
      </c>
      <c r="DR113" s="42">
        <f t="shared" si="108"/>
        <v>0</v>
      </c>
      <c r="DS113" s="42">
        <f t="shared" si="108"/>
        <v>0</v>
      </c>
      <c r="DT113" s="42">
        <f t="shared" si="108"/>
        <v>0</v>
      </c>
      <c r="DU113" s="42">
        <f t="shared" si="108"/>
        <v>0</v>
      </c>
      <c r="DV113" s="42">
        <f t="shared" si="108"/>
        <v>0</v>
      </c>
      <c r="DW113" s="42">
        <f t="shared" si="109"/>
        <v>2313284</v>
      </c>
      <c r="DX113" s="42">
        <f t="shared" si="109"/>
        <v>0</v>
      </c>
      <c r="DY113" s="42"/>
      <c r="DZ113" s="42">
        <f t="shared" si="110"/>
        <v>0</v>
      </c>
      <c r="EB113" s="47">
        <f t="shared" si="62"/>
        <v>2313284</v>
      </c>
      <c r="EC113" s="47">
        <f t="shared" si="63"/>
        <v>2313284</v>
      </c>
      <c r="ED113" s="47">
        <f t="shared" si="64"/>
        <v>2313284</v>
      </c>
    </row>
    <row r="114" spans="1:136" ht="17.399999999999999" customHeight="1" x14ac:dyDescent="0.3">
      <c r="A114" s="124"/>
      <c r="B114" s="128"/>
      <c r="C114" s="78" t="s">
        <v>324</v>
      </c>
      <c r="D114" s="50" t="s">
        <v>325</v>
      </c>
      <c r="E114" s="40">
        <v>301</v>
      </c>
      <c r="F114" s="41" t="s">
        <v>302</v>
      </c>
      <c r="G114" s="42">
        <f t="shared" si="99"/>
        <v>10000000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>
        <v>10000000</v>
      </c>
      <c r="AB114" s="42"/>
      <c r="AC114" s="42"/>
      <c r="AD114" s="42"/>
      <c r="AE114" s="43">
        <f t="shared" si="86"/>
        <v>1</v>
      </c>
      <c r="AF114" s="42">
        <f t="shared" si="100"/>
        <v>10000000</v>
      </c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>
        <f>+'[6]MARZO 2019'!$AB$411</f>
        <v>10000000</v>
      </c>
      <c r="BA114" s="42"/>
      <c r="BB114" s="42"/>
      <c r="BC114" s="42"/>
      <c r="BD114" s="43">
        <f t="shared" si="59"/>
        <v>0</v>
      </c>
      <c r="BE114" s="42">
        <f t="shared" si="101"/>
        <v>0</v>
      </c>
      <c r="BF114" s="42">
        <f t="shared" si="111"/>
        <v>0</v>
      </c>
      <c r="BG114" s="42">
        <f t="shared" si="111"/>
        <v>0</v>
      </c>
      <c r="BH114" s="42">
        <f t="shared" si="111"/>
        <v>0</v>
      </c>
      <c r="BI114" s="42">
        <f t="shared" si="103"/>
        <v>0</v>
      </c>
      <c r="BJ114" s="42">
        <f t="shared" si="112"/>
        <v>0</v>
      </c>
      <c r="BK114" s="42">
        <f t="shared" si="112"/>
        <v>0</v>
      </c>
      <c r="BL114" s="42">
        <f t="shared" si="112"/>
        <v>0</v>
      </c>
      <c r="BM114" s="42">
        <f t="shared" si="112"/>
        <v>0</v>
      </c>
      <c r="BN114" s="42">
        <f t="shared" si="112"/>
        <v>0</v>
      </c>
      <c r="BO114" s="42">
        <f t="shared" si="112"/>
        <v>0</v>
      </c>
      <c r="BP114" s="42">
        <f t="shared" si="112"/>
        <v>0</v>
      </c>
      <c r="BQ114" s="42">
        <f t="shared" si="112"/>
        <v>0</v>
      </c>
      <c r="BR114" s="42">
        <f t="shared" si="112"/>
        <v>0</v>
      </c>
      <c r="BS114" s="42">
        <f t="shared" si="112"/>
        <v>0</v>
      </c>
      <c r="BT114" s="42">
        <f t="shared" si="112"/>
        <v>0</v>
      </c>
      <c r="BU114" s="42">
        <f t="shared" si="112"/>
        <v>0</v>
      </c>
      <c r="BV114" s="42">
        <f t="shared" si="112"/>
        <v>0</v>
      </c>
      <c r="BW114" s="42">
        <f t="shared" si="112"/>
        <v>0</v>
      </c>
      <c r="BX114" s="42">
        <f t="shared" si="112"/>
        <v>0</v>
      </c>
      <c r="BY114" s="42">
        <f t="shared" si="105"/>
        <v>0</v>
      </c>
      <c r="BZ114" s="42">
        <f t="shared" si="105"/>
        <v>0</v>
      </c>
      <c r="CA114" s="42"/>
      <c r="CB114" s="42">
        <f t="shared" si="113"/>
        <v>0</v>
      </c>
      <c r="CC114" s="43">
        <f t="shared" si="114"/>
        <v>0</v>
      </c>
      <c r="CD114" s="42">
        <f t="shared" si="106"/>
        <v>0</v>
      </c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3">
        <f t="shared" si="61"/>
        <v>1</v>
      </c>
      <c r="DC114" s="42">
        <f t="shared" si="81"/>
        <v>10000000</v>
      </c>
      <c r="DD114" s="42">
        <f t="shared" si="107"/>
        <v>0</v>
      </c>
      <c r="DE114" s="42">
        <f t="shared" si="107"/>
        <v>0</v>
      </c>
      <c r="DF114" s="42"/>
      <c r="DG114" s="42">
        <f t="shared" si="108"/>
        <v>0</v>
      </c>
      <c r="DH114" s="42">
        <f t="shared" si="108"/>
        <v>0</v>
      </c>
      <c r="DI114" s="42">
        <f t="shared" si="108"/>
        <v>0</v>
      </c>
      <c r="DJ114" s="42">
        <f t="shared" si="108"/>
        <v>0</v>
      </c>
      <c r="DK114" s="42">
        <f t="shared" si="108"/>
        <v>0</v>
      </c>
      <c r="DL114" s="42">
        <f t="shared" si="108"/>
        <v>0</v>
      </c>
      <c r="DM114" s="42">
        <f t="shared" si="108"/>
        <v>0</v>
      </c>
      <c r="DN114" s="42">
        <f t="shared" si="108"/>
        <v>0</v>
      </c>
      <c r="DO114" s="42">
        <f t="shared" si="108"/>
        <v>0</v>
      </c>
      <c r="DP114" s="42">
        <f t="shared" si="108"/>
        <v>0</v>
      </c>
      <c r="DQ114" s="42">
        <f t="shared" si="108"/>
        <v>0</v>
      </c>
      <c r="DR114" s="42">
        <f t="shared" si="108"/>
        <v>0</v>
      </c>
      <c r="DS114" s="42">
        <f t="shared" si="108"/>
        <v>0</v>
      </c>
      <c r="DT114" s="42">
        <f t="shared" si="108"/>
        <v>0</v>
      </c>
      <c r="DU114" s="42">
        <f t="shared" si="108"/>
        <v>0</v>
      </c>
      <c r="DV114" s="42">
        <f t="shared" si="108"/>
        <v>0</v>
      </c>
      <c r="DW114" s="42">
        <f t="shared" si="109"/>
        <v>10000000</v>
      </c>
      <c r="DX114" s="42">
        <f t="shared" si="109"/>
        <v>0</v>
      </c>
      <c r="DY114" s="42"/>
      <c r="DZ114" s="42">
        <f t="shared" si="110"/>
        <v>0</v>
      </c>
      <c r="EB114" s="47">
        <f t="shared" si="62"/>
        <v>10000000</v>
      </c>
      <c r="EC114" s="47">
        <f t="shared" si="63"/>
        <v>10000000</v>
      </c>
      <c r="ED114" s="47">
        <f t="shared" si="64"/>
        <v>10000000</v>
      </c>
    </row>
    <row r="115" spans="1:136" ht="15.6" customHeight="1" x14ac:dyDescent="0.3">
      <c r="A115" s="124"/>
      <c r="B115" s="128"/>
      <c r="C115" s="78" t="s">
        <v>326</v>
      </c>
      <c r="D115" s="50" t="s">
        <v>327</v>
      </c>
      <c r="E115" s="40">
        <v>301</v>
      </c>
      <c r="F115" s="41" t="s">
        <v>302</v>
      </c>
      <c r="G115" s="42">
        <f t="shared" si="99"/>
        <v>6000000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>
        <v>6000000</v>
      </c>
      <c r="AB115" s="42"/>
      <c r="AC115" s="42"/>
      <c r="AD115" s="42"/>
      <c r="AE115" s="43">
        <f t="shared" si="86"/>
        <v>1</v>
      </c>
      <c r="AF115" s="42">
        <f t="shared" si="100"/>
        <v>6000000</v>
      </c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>
        <f>+'[6]MARZO 2019'!$AB$417</f>
        <v>6000000</v>
      </c>
      <c r="BA115" s="42"/>
      <c r="BB115" s="42"/>
      <c r="BC115" s="42"/>
      <c r="BD115" s="43">
        <f t="shared" si="59"/>
        <v>0</v>
      </c>
      <c r="BE115" s="42">
        <f t="shared" si="101"/>
        <v>0</v>
      </c>
      <c r="BF115" s="42">
        <f t="shared" si="111"/>
        <v>0</v>
      </c>
      <c r="BG115" s="42">
        <f t="shared" si="111"/>
        <v>0</v>
      </c>
      <c r="BH115" s="42">
        <f t="shared" si="111"/>
        <v>0</v>
      </c>
      <c r="BI115" s="42">
        <f t="shared" si="103"/>
        <v>0</v>
      </c>
      <c r="BJ115" s="42">
        <f t="shared" si="112"/>
        <v>0</v>
      </c>
      <c r="BK115" s="42">
        <f t="shared" si="112"/>
        <v>0</v>
      </c>
      <c r="BL115" s="42">
        <f t="shared" si="112"/>
        <v>0</v>
      </c>
      <c r="BM115" s="42">
        <f t="shared" si="112"/>
        <v>0</v>
      </c>
      <c r="BN115" s="42">
        <f t="shared" si="112"/>
        <v>0</v>
      </c>
      <c r="BO115" s="42">
        <f t="shared" si="112"/>
        <v>0</v>
      </c>
      <c r="BP115" s="42">
        <f t="shared" si="112"/>
        <v>0</v>
      </c>
      <c r="BQ115" s="42">
        <f t="shared" si="112"/>
        <v>0</v>
      </c>
      <c r="BR115" s="42">
        <f t="shared" si="112"/>
        <v>0</v>
      </c>
      <c r="BS115" s="42">
        <f t="shared" si="112"/>
        <v>0</v>
      </c>
      <c r="BT115" s="42">
        <f t="shared" si="112"/>
        <v>0</v>
      </c>
      <c r="BU115" s="42">
        <f t="shared" si="112"/>
        <v>0</v>
      </c>
      <c r="BV115" s="42">
        <f t="shared" si="112"/>
        <v>0</v>
      </c>
      <c r="BW115" s="42">
        <f t="shared" si="112"/>
        <v>0</v>
      </c>
      <c r="BX115" s="42">
        <f t="shared" si="112"/>
        <v>0</v>
      </c>
      <c r="BY115" s="42">
        <f t="shared" si="105"/>
        <v>0</v>
      </c>
      <c r="BZ115" s="42">
        <f t="shared" si="105"/>
        <v>0</v>
      </c>
      <c r="CA115" s="42"/>
      <c r="CB115" s="42">
        <f t="shared" si="113"/>
        <v>0</v>
      </c>
      <c r="CC115" s="43">
        <f t="shared" si="114"/>
        <v>1</v>
      </c>
      <c r="CD115" s="42">
        <f t="shared" si="106"/>
        <v>6000000</v>
      </c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>
        <f>+'[3]NOVIEMBRE 2019'!$H$1601</f>
        <v>6000000</v>
      </c>
      <c r="CY115" s="42"/>
      <c r="CZ115" s="42"/>
      <c r="DA115" s="42"/>
      <c r="DB115" s="43">
        <f t="shared" si="61"/>
        <v>0</v>
      </c>
      <c r="DC115" s="42">
        <f t="shared" si="81"/>
        <v>0</v>
      </c>
      <c r="DD115" s="42">
        <f t="shared" si="107"/>
        <v>0</v>
      </c>
      <c r="DE115" s="42">
        <f t="shared" si="107"/>
        <v>0</v>
      </c>
      <c r="DF115" s="42"/>
      <c r="DG115" s="42">
        <f t="shared" si="108"/>
        <v>0</v>
      </c>
      <c r="DH115" s="42">
        <f t="shared" si="108"/>
        <v>0</v>
      </c>
      <c r="DI115" s="42">
        <f t="shared" si="108"/>
        <v>0</v>
      </c>
      <c r="DJ115" s="42">
        <f t="shared" si="108"/>
        <v>0</v>
      </c>
      <c r="DK115" s="42">
        <f t="shared" si="108"/>
        <v>0</v>
      </c>
      <c r="DL115" s="42">
        <f t="shared" si="108"/>
        <v>0</v>
      </c>
      <c r="DM115" s="42">
        <f t="shared" si="108"/>
        <v>0</v>
      </c>
      <c r="DN115" s="42">
        <f t="shared" si="108"/>
        <v>0</v>
      </c>
      <c r="DO115" s="42">
        <f t="shared" si="108"/>
        <v>0</v>
      </c>
      <c r="DP115" s="42">
        <f t="shared" si="108"/>
        <v>0</v>
      </c>
      <c r="DQ115" s="42">
        <f t="shared" si="108"/>
        <v>0</v>
      </c>
      <c r="DR115" s="42">
        <f t="shared" si="108"/>
        <v>0</v>
      </c>
      <c r="DS115" s="42">
        <f t="shared" si="108"/>
        <v>0</v>
      </c>
      <c r="DT115" s="42">
        <f t="shared" si="108"/>
        <v>0</v>
      </c>
      <c r="DU115" s="42">
        <f t="shared" si="108"/>
        <v>0</v>
      </c>
      <c r="DV115" s="42">
        <f t="shared" si="108"/>
        <v>0</v>
      </c>
      <c r="DW115" s="42">
        <f t="shared" si="109"/>
        <v>0</v>
      </c>
      <c r="DX115" s="42">
        <f t="shared" si="109"/>
        <v>0</v>
      </c>
      <c r="DY115" s="42"/>
      <c r="DZ115" s="42">
        <f t="shared" si="110"/>
        <v>0</v>
      </c>
      <c r="EB115" s="47">
        <f t="shared" si="62"/>
        <v>6000000</v>
      </c>
      <c r="EC115" s="47">
        <f t="shared" si="63"/>
        <v>6000000</v>
      </c>
      <c r="ED115" s="47">
        <f t="shared" si="64"/>
        <v>6000000</v>
      </c>
    </row>
    <row r="116" spans="1:136" ht="26.4" customHeight="1" x14ac:dyDescent="0.3">
      <c r="A116" s="124"/>
      <c r="B116" s="109" t="s">
        <v>328</v>
      </c>
      <c r="C116" s="78" t="s">
        <v>329</v>
      </c>
      <c r="D116" s="39" t="s">
        <v>330</v>
      </c>
      <c r="E116" s="40">
        <v>301</v>
      </c>
      <c r="F116" s="41" t="s">
        <v>302</v>
      </c>
      <c r="G116" s="42">
        <f t="shared" si="99"/>
        <v>1564414901</v>
      </c>
      <c r="H116" s="42">
        <v>328968376</v>
      </c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>
        <v>1235446525</v>
      </c>
      <c r="AB116" s="42"/>
      <c r="AC116" s="42"/>
      <c r="AD116" s="42"/>
      <c r="AE116" s="43">
        <f t="shared" si="86"/>
        <v>0.99241515534503333</v>
      </c>
      <c r="AF116" s="42">
        <f t="shared" si="100"/>
        <v>1552549057</v>
      </c>
      <c r="AG116" s="42">
        <f>+'[10]ENERO 2019'!$J$303</f>
        <v>328965376</v>
      </c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>
        <f>+'[3]NOVIEMBRE 2019'!$AC$1616</f>
        <v>1223583681</v>
      </c>
      <c r="BA116" s="42"/>
      <c r="BB116" s="42"/>
      <c r="BC116" s="42"/>
      <c r="BD116" s="43">
        <f t="shared" si="59"/>
        <v>7.5848446549666715E-3</v>
      </c>
      <c r="BE116" s="42">
        <f t="shared" si="101"/>
        <v>11865844</v>
      </c>
      <c r="BF116" s="42">
        <f t="shared" si="111"/>
        <v>3000</v>
      </c>
      <c r="BG116" s="42">
        <f t="shared" si="111"/>
        <v>0</v>
      </c>
      <c r="BH116" s="42">
        <f t="shared" si="111"/>
        <v>0</v>
      </c>
      <c r="BI116" s="42">
        <f t="shared" si="103"/>
        <v>0</v>
      </c>
      <c r="BJ116" s="42">
        <f t="shared" si="112"/>
        <v>0</v>
      </c>
      <c r="BK116" s="42">
        <f t="shared" si="112"/>
        <v>0</v>
      </c>
      <c r="BL116" s="42">
        <f t="shared" si="112"/>
        <v>0</v>
      </c>
      <c r="BM116" s="42">
        <f t="shared" si="112"/>
        <v>0</v>
      </c>
      <c r="BN116" s="42">
        <f t="shared" si="112"/>
        <v>0</v>
      </c>
      <c r="BO116" s="42">
        <f t="shared" si="112"/>
        <v>0</v>
      </c>
      <c r="BP116" s="42">
        <f t="shared" si="112"/>
        <v>0</v>
      </c>
      <c r="BQ116" s="42">
        <f t="shared" si="112"/>
        <v>0</v>
      </c>
      <c r="BR116" s="42">
        <f t="shared" si="112"/>
        <v>0</v>
      </c>
      <c r="BS116" s="42">
        <f t="shared" si="112"/>
        <v>0</v>
      </c>
      <c r="BT116" s="42">
        <f t="shared" si="112"/>
        <v>0</v>
      </c>
      <c r="BU116" s="42">
        <f t="shared" si="112"/>
        <v>0</v>
      </c>
      <c r="BV116" s="42">
        <f t="shared" si="112"/>
        <v>0</v>
      </c>
      <c r="BW116" s="42">
        <f t="shared" si="112"/>
        <v>0</v>
      </c>
      <c r="BX116" s="42">
        <f t="shared" si="112"/>
        <v>0</v>
      </c>
      <c r="BY116" s="42">
        <f t="shared" si="105"/>
        <v>11862844</v>
      </c>
      <c r="BZ116" s="42">
        <f t="shared" si="105"/>
        <v>0</v>
      </c>
      <c r="CA116" s="42"/>
      <c r="CB116" s="42">
        <f t="shared" si="113"/>
        <v>0</v>
      </c>
      <c r="CC116" s="43">
        <f t="shared" si="114"/>
        <v>0.99241515534503333</v>
      </c>
      <c r="CD116" s="42">
        <f t="shared" si="106"/>
        <v>1552549057</v>
      </c>
      <c r="CE116" s="42">
        <f>+'[3]NOVIEMBRE 2019'!$J$1616</f>
        <v>328965376</v>
      </c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>
        <f>+'[3]NOVIEMBRE 2019'!$AC$1616</f>
        <v>1223583681</v>
      </c>
      <c r="CY116" s="42"/>
      <c r="CZ116" s="42"/>
      <c r="DA116" s="42"/>
      <c r="DB116" s="43">
        <f t="shared" si="61"/>
        <v>7.5848446549666715E-3</v>
      </c>
      <c r="DC116" s="42">
        <f t="shared" si="81"/>
        <v>11865844</v>
      </c>
      <c r="DD116" s="42">
        <f t="shared" si="107"/>
        <v>3000</v>
      </c>
      <c r="DE116" s="42">
        <f t="shared" si="107"/>
        <v>0</v>
      </c>
      <c r="DF116" s="42">
        <f>J116-CG116</f>
        <v>0</v>
      </c>
      <c r="DG116" s="42">
        <f t="shared" si="108"/>
        <v>0</v>
      </c>
      <c r="DH116" s="42">
        <f t="shared" si="108"/>
        <v>0</v>
      </c>
      <c r="DI116" s="42">
        <f t="shared" si="108"/>
        <v>0</v>
      </c>
      <c r="DJ116" s="42">
        <f t="shared" si="108"/>
        <v>0</v>
      </c>
      <c r="DK116" s="42">
        <f t="shared" si="108"/>
        <v>0</v>
      </c>
      <c r="DL116" s="42">
        <f t="shared" si="108"/>
        <v>0</v>
      </c>
      <c r="DM116" s="42">
        <f t="shared" si="108"/>
        <v>0</v>
      </c>
      <c r="DN116" s="42">
        <f t="shared" si="108"/>
        <v>0</v>
      </c>
      <c r="DO116" s="42">
        <f t="shared" si="108"/>
        <v>0</v>
      </c>
      <c r="DP116" s="42">
        <f t="shared" si="108"/>
        <v>0</v>
      </c>
      <c r="DQ116" s="42">
        <f t="shared" si="108"/>
        <v>0</v>
      </c>
      <c r="DR116" s="42">
        <f t="shared" si="108"/>
        <v>0</v>
      </c>
      <c r="DS116" s="42">
        <f t="shared" si="108"/>
        <v>0</v>
      </c>
      <c r="DT116" s="42">
        <f t="shared" si="108"/>
        <v>0</v>
      </c>
      <c r="DU116" s="42">
        <f t="shared" si="108"/>
        <v>0</v>
      </c>
      <c r="DV116" s="42">
        <f t="shared" si="108"/>
        <v>0</v>
      </c>
      <c r="DW116" s="42">
        <f t="shared" si="109"/>
        <v>11862844</v>
      </c>
      <c r="DX116" s="42">
        <f t="shared" si="109"/>
        <v>0</v>
      </c>
      <c r="DY116" s="42"/>
      <c r="DZ116" s="42">
        <f t="shared" si="110"/>
        <v>0</v>
      </c>
      <c r="EB116" s="47">
        <f t="shared" si="62"/>
        <v>1564414901</v>
      </c>
      <c r="EC116" s="47">
        <f t="shared" si="63"/>
        <v>1564414901</v>
      </c>
      <c r="ED116" s="47">
        <f t="shared" si="64"/>
        <v>1564414901</v>
      </c>
    </row>
    <row r="117" spans="1:136" ht="16.8" customHeight="1" x14ac:dyDescent="0.3">
      <c r="A117" s="129"/>
      <c r="B117" s="130" t="s">
        <v>331</v>
      </c>
      <c r="C117" s="78" t="s">
        <v>332</v>
      </c>
      <c r="D117" s="131" t="s">
        <v>333</v>
      </c>
      <c r="E117" s="40">
        <v>301</v>
      </c>
      <c r="F117" s="41" t="s">
        <v>302</v>
      </c>
      <c r="G117" s="42">
        <f t="shared" si="99"/>
        <v>681816144</v>
      </c>
      <c r="H117" s="132"/>
      <c r="I117" s="132"/>
      <c r="J117" s="132"/>
      <c r="K117" s="42">
        <v>681816144</v>
      </c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132"/>
      <c r="X117" s="132"/>
      <c r="Y117" s="132"/>
      <c r="Z117" s="132"/>
      <c r="AA117" s="42"/>
      <c r="AB117" s="132"/>
      <c r="AC117" s="132"/>
      <c r="AD117" s="132"/>
      <c r="AE117" s="43">
        <f t="shared" si="86"/>
        <v>1</v>
      </c>
      <c r="AF117" s="42">
        <f t="shared" si="100"/>
        <v>681816144</v>
      </c>
      <c r="AG117" s="132"/>
      <c r="AH117" s="132"/>
      <c r="AI117" s="132"/>
      <c r="AJ117" s="132">
        <f>+'[2]SEPTIEMBRE 2019'!$L$1407</f>
        <v>681816144</v>
      </c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43">
        <f t="shared" si="59"/>
        <v>0</v>
      </c>
      <c r="BE117" s="42">
        <f t="shared" si="101"/>
        <v>0</v>
      </c>
      <c r="BF117" s="42"/>
      <c r="BG117" s="42"/>
      <c r="BH117" s="42"/>
      <c r="BI117" s="42">
        <f t="shared" si="103"/>
        <v>0</v>
      </c>
      <c r="BJ117" s="42">
        <f t="shared" si="112"/>
        <v>0</v>
      </c>
      <c r="BK117" s="42">
        <f t="shared" si="112"/>
        <v>0</v>
      </c>
      <c r="BL117" s="42">
        <f t="shared" si="112"/>
        <v>0</v>
      </c>
      <c r="BM117" s="42">
        <f t="shared" si="112"/>
        <v>0</v>
      </c>
      <c r="BN117" s="42">
        <f t="shared" si="112"/>
        <v>0</v>
      </c>
      <c r="BO117" s="42">
        <f t="shared" si="112"/>
        <v>0</v>
      </c>
      <c r="BP117" s="42">
        <f t="shared" si="112"/>
        <v>0</v>
      </c>
      <c r="BQ117" s="42">
        <f t="shared" si="112"/>
        <v>0</v>
      </c>
      <c r="BR117" s="42">
        <f t="shared" si="112"/>
        <v>0</v>
      </c>
      <c r="BS117" s="42">
        <f t="shared" si="112"/>
        <v>0</v>
      </c>
      <c r="BT117" s="42">
        <f t="shared" si="112"/>
        <v>0</v>
      </c>
      <c r="BU117" s="42">
        <f t="shared" si="112"/>
        <v>0</v>
      </c>
      <c r="BV117" s="42">
        <f t="shared" si="112"/>
        <v>0</v>
      </c>
      <c r="BW117" s="42">
        <f t="shared" si="112"/>
        <v>0</v>
      </c>
      <c r="BX117" s="42">
        <f t="shared" si="112"/>
        <v>0</v>
      </c>
      <c r="BY117" s="42">
        <f t="shared" si="105"/>
        <v>0</v>
      </c>
      <c r="BZ117" s="42">
        <f t="shared" si="105"/>
        <v>0</v>
      </c>
      <c r="CA117" s="42"/>
      <c r="CB117" s="42">
        <f t="shared" si="113"/>
        <v>0</v>
      </c>
      <c r="CC117" s="43">
        <f t="shared" si="114"/>
        <v>0.22768499743825368</v>
      </c>
      <c r="CD117" s="42">
        <f t="shared" si="106"/>
        <v>155239307</v>
      </c>
      <c r="CE117" s="132"/>
      <c r="CF117" s="132"/>
      <c r="CG117" s="132"/>
      <c r="CH117" s="132">
        <f>+'[3]NOVIEMBRE 2019'!$H$1685</f>
        <v>155239307</v>
      </c>
      <c r="CI117" s="132"/>
      <c r="CJ117" s="132"/>
      <c r="CK117" s="132"/>
      <c r="CL117" s="132"/>
      <c r="CM117" s="132"/>
      <c r="CN117" s="132"/>
      <c r="CO117" s="132"/>
      <c r="CP117" s="132"/>
      <c r="CQ117" s="132"/>
      <c r="CR117" s="132"/>
      <c r="CS117" s="132"/>
      <c r="CT117" s="132"/>
      <c r="CU117" s="132"/>
      <c r="CV117" s="132"/>
      <c r="CW117" s="132"/>
      <c r="CX117" s="132"/>
      <c r="CY117" s="132"/>
      <c r="CZ117" s="132"/>
      <c r="DA117" s="132"/>
      <c r="DB117" s="43">
        <f t="shared" si="61"/>
        <v>0.77231500256174634</v>
      </c>
      <c r="DC117" s="42">
        <f t="shared" si="81"/>
        <v>526576837</v>
      </c>
      <c r="DD117" s="42"/>
      <c r="DE117" s="42"/>
      <c r="DF117" s="42"/>
      <c r="DG117" s="42">
        <f>K117-CH117</f>
        <v>526576837</v>
      </c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B117" s="47">
        <f t="shared" si="62"/>
        <v>681816144</v>
      </c>
      <c r="EC117" s="47">
        <f t="shared" si="63"/>
        <v>681816144</v>
      </c>
      <c r="ED117" s="47">
        <f t="shared" si="64"/>
        <v>681816144</v>
      </c>
    </row>
    <row r="118" spans="1:136" ht="18.600000000000001" customHeight="1" x14ac:dyDescent="0.3">
      <c r="A118" s="129"/>
      <c r="B118" s="133" t="s">
        <v>334</v>
      </c>
      <c r="C118" s="78" t="s">
        <v>335</v>
      </c>
      <c r="D118" s="131" t="s">
        <v>336</v>
      </c>
      <c r="E118" s="40">
        <v>301</v>
      </c>
      <c r="F118" s="41" t="s">
        <v>302</v>
      </c>
      <c r="G118" s="42">
        <f t="shared" si="99"/>
        <v>100000000</v>
      </c>
      <c r="H118" s="132">
        <v>15000000</v>
      </c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42">
        <v>85000000</v>
      </c>
      <c r="AB118" s="132"/>
      <c r="AC118" s="132"/>
      <c r="AD118" s="132"/>
      <c r="AE118" s="43">
        <f t="shared" si="86"/>
        <v>0.99999998000000001</v>
      </c>
      <c r="AF118" s="42">
        <f t="shared" si="100"/>
        <v>99999998</v>
      </c>
      <c r="AG118" s="132">
        <f>+'[12]JULIO 2019'!$J$1030</f>
        <v>15000000</v>
      </c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>
        <f>+'[3]NOVIEMBRE 2019'!$AC$1655</f>
        <v>84999998</v>
      </c>
      <c r="BA118" s="132"/>
      <c r="BB118" s="132"/>
      <c r="BC118" s="132"/>
      <c r="BD118" s="43">
        <f t="shared" si="59"/>
        <v>1.9999999989472883E-8</v>
      </c>
      <c r="BE118" s="42">
        <f t="shared" si="101"/>
        <v>2</v>
      </c>
      <c r="BF118" s="42">
        <f t="shared" ref="BF118:BH120" si="115">H118-AG118</f>
        <v>0</v>
      </c>
      <c r="BG118" s="42">
        <f t="shared" si="115"/>
        <v>0</v>
      </c>
      <c r="BH118" s="42">
        <f t="shared" si="115"/>
        <v>0</v>
      </c>
      <c r="BI118" s="42">
        <f t="shared" si="103"/>
        <v>0</v>
      </c>
      <c r="BJ118" s="42">
        <f t="shared" si="112"/>
        <v>0</v>
      </c>
      <c r="BK118" s="42">
        <f t="shared" si="112"/>
        <v>0</v>
      </c>
      <c r="BL118" s="42">
        <f t="shared" si="112"/>
        <v>0</v>
      </c>
      <c r="BM118" s="42">
        <f t="shared" si="112"/>
        <v>0</v>
      </c>
      <c r="BN118" s="42">
        <f t="shared" si="112"/>
        <v>0</v>
      </c>
      <c r="BO118" s="42">
        <f t="shared" si="112"/>
        <v>0</v>
      </c>
      <c r="BP118" s="42">
        <f t="shared" si="112"/>
        <v>0</v>
      </c>
      <c r="BQ118" s="42">
        <f t="shared" si="112"/>
        <v>0</v>
      </c>
      <c r="BR118" s="42">
        <f t="shared" si="112"/>
        <v>0</v>
      </c>
      <c r="BS118" s="42">
        <f t="shared" si="112"/>
        <v>0</v>
      </c>
      <c r="BT118" s="42">
        <f t="shared" si="112"/>
        <v>0</v>
      </c>
      <c r="BU118" s="42">
        <f t="shared" si="112"/>
        <v>0</v>
      </c>
      <c r="BV118" s="42">
        <f t="shared" si="112"/>
        <v>0</v>
      </c>
      <c r="BW118" s="42">
        <f t="shared" si="112"/>
        <v>0</v>
      </c>
      <c r="BX118" s="42">
        <f t="shared" si="112"/>
        <v>0</v>
      </c>
      <c r="BY118" s="42">
        <f t="shared" si="105"/>
        <v>2</v>
      </c>
      <c r="BZ118" s="42">
        <f t="shared" si="105"/>
        <v>0</v>
      </c>
      <c r="CA118" s="42"/>
      <c r="CB118" s="42">
        <f t="shared" si="113"/>
        <v>0</v>
      </c>
      <c r="CC118" s="43">
        <f t="shared" si="114"/>
        <v>0.74999998000000001</v>
      </c>
      <c r="CD118" s="42">
        <f t="shared" si="106"/>
        <v>74999998</v>
      </c>
      <c r="CE118" s="132">
        <f>+'[8]AGOSTO 2019'!$H$1163</f>
        <v>15000000</v>
      </c>
      <c r="CF118" s="132"/>
      <c r="CG118" s="132"/>
      <c r="CH118" s="132"/>
      <c r="CI118" s="132"/>
      <c r="CJ118" s="132"/>
      <c r="CK118" s="132"/>
      <c r="CL118" s="132"/>
      <c r="CM118" s="132"/>
      <c r="CN118" s="132"/>
      <c r="CO118" s="132"/>
      <c r="CP118" s="132"/>
      <c r="CQ118" s="132"/>
      <c r="CR118" s="132"/>
      <c r="CS118" s="132"/>
      <c r="CT118" s="132"/>
      <c r="CU118" s="132"/>
      <c r="CV118" s="132"/>
      <c r="CW118" s="132"/>
      <c r="CX118" s="132">
        <f>+'[3]NOVIEMBRE 2019'!$H$1656+'[3]NOVIEMBRE 2019'!$H$1667</f>
        <v>59999998</v>
      </c>
      <c r="CY118" s="132"/>
      <c r="CZ118" s="132"/>
      <c r="DA118" s="132"/>
      <c r="DB118" s="43">
        <f t="shared" si="61"/>
        <v>0.25000001999999999</v>
      </c>
      <c r="DC118" s="42">
        <f t="shared" si="81"/>
        <v>25000002</v>
      </c>
      <c r="DD118" s="42">
        <f t="shared" ref="DD118:DE120" si="116">H118-CE118</f>
        <v>0</v>
      </c>
      <c r="DE118" s="42">
        <f t="shared" si="116"/>
        <v>0</v>
      </c>
      <c r="DF118" s="42"/>
      <c r="DG118" s="42">
        <f>K118-CH118</f>
        <v>0</v>
      </c>
      <c r="DH118" s="42">
        <f t="shared" ref="DH118:DW120" si="117">L118-CI118</f>
        <v>0</v>
      </c>
      <c r="DI118" s="42">
        <f t="shared" si="117"/>
        <v>0</v>
      </c>
      <c r="DJ118" s="42">
        <f t="shared" si="117"/>
        <v>0</v>
      </c>
      <c r="DK118" s="42">
        <f t="shared" si="117"/>
        <v>0</v>
      </c>
      <c r="DL118" s="42">
        <f t="shared" si="117"/>
        <v>0</v>
      </c>
      <c r="DM118" s="42">
        <f t="shared" si="117"/>
        <v>0</v>
      </c>
      <c r="DN118" s="42">
        <f t="shared" si="117"/>
        <v>0</v>
      </c>
      <c r="DO118" s="42">
        <f t="shared" si="117"/>
        <v>0</v>
      </c>
      <c r="DP118" s="42">
        <f t="shared" si="117"/>
        <v>0</v>
      </c>
      <c r="DQ118" s="42">
        <f t="shared" si="117"/>
        <v>0</v>
      </c>
      <c r="DR118" s="42">
        <f t="shared" si="117"/>
        <v>0</v>
      </c>
      <c r="DS118" s="42">
        <f t="shared" si="117"/>
        <v>0</v>
      </c>
      <c r="DT118" s="42">
        <f t="shared" si="117"/>
        <v>0</v>
      </c>
      <c r="DU118" s="42">
        <f t="shared" si="117"/>
        <v>0</v>
      </c>
      <c r="DV118" s="42">
        <f t="shared" si="117"/>
        <v>0</v>
      </c>
      <c r="DW118" s="42">
        <f t="shared" si="117"/>
        <v>25000002</v>
      </c>
      <c r="DX118" s="42">
        <f t="shared" ref="DR118:DX120" si="118">AB118-CY118</f>
        <v>0</v>
      </c>
      <c r="DY118" s="42"/>
      <c r="DZ118" s="42">
        <f>AD118-DA118</f>
        <v>0</v>
      </c>
      <c r="EB118" s="47">
        <f t="shared" si="62"/>
        <v>100000000</v>
      </c>
      <c r="EC118" s="47">
        <f t="shared" si="63"/>
        <v>100000000</v>
      </c>
      <c r="ED118" s="47">
        <f t="shared" si="64"/>
        <v>100000000</v>
      </c>
    </row>
    <row r="119" spans="1:136" ht="27.6" customHeight="1" x14ac:dyDescent="0.3">
      <c r="A119" s="129"/>
      <c r="B119" s="134"/>
      <c r="C119" s="78" t="s">
        <v>337</v>
      </c>
      <c r="D119" s="131" t="s">
        <v>338</v>
      </c>
      <c r="E119" s="40">
        <v>301</v>
      </c>
      <c r="F119" s="41" t="s">
        <v>302</v>
      </c>
      <c r="G119" s="42">
        <f t="shared" si="99"/>
        <v>56000000</v>
      </c>
      <c r="H119" s="132">
        <v>8000000</v>
      </c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42">
        <v>48000000</v>
      </c>
      <c r="AB119" s="132"/>
      <c r="AC119" s="132"/>
      <c r="AD119" s="132"/>
      <c r="AE119" s="43">
        <f t="shared" si="86"/>
        <v>0.99999996428571425</v>
      </c>
      <c r="AF119" s="42">
        <f t="shared" si="100"/>
        <v>55999998</v>
      </c>
      <c r="AG119" s="132">
        <f>+'[12]JULIO 2019'!$J$1051</f>
        <v>8000000</v>
      </c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>
        <f>+'[3]NOVIEMBRE 2019'!$AC$1752</f>
        <v>47999998</v>
      </c>
      <c r="BA119" s="132"/>
      <c r="BB119" s="132"/>
      <c r="BC119" s="132"/>
      <c r="BD119" s="43">
        <f t="shared" si="59"/>
        <v>3.5714285750998442E-8</v>
      </c>
      <c r="BE119" s="42">
        <f t="shared" si="101"/>
        <v>2</v>
      </c>
      <c r="BF119" s="42">
        <f t="shared" si="115"/>
        <v>0</v>
      </c>
      <c r="BG119" s="42">
        <f t="shared" si="115"/>
        <v>0</v>
      </c>
      <c r="BH119" s="42">
        <f t="shared" si="115"/>
        <v>0</v>
      </c>
      <c r="BI119" s="42">
        <f t="shared" si="103"/>
        <v>0</v>
      </c>
      <c r="BJ119" s="42">
        <f t="shared" si="112"/>
        <v>0</v>
      </c>
      <c r="BK119" s="42">
        <f t="shared" si="112"/>
        <v>0</v>
      </c>
      <c r="BL119" s="42">
        <f t="shared" si="112"/>
        <v>0</v>
      </c>
      <c r="BM119" s="42">
        <f t="shared" si="112"/>
        <v>0</v>
      </c>
      <c r="BN119" s="42">
        <f t="shared" si="112"/>
        <v>0</v>
      </c>
      <c r="BO119" s="42">
        <f t="shared" si="112"/>
        <v>0</v>
      </c>
      <c r="BP119" s="42">
        <f t="shared" si="112"/>
        <v>0</v>
      </c>
      <c r="BQ119" s="42">
        <f t="shared" si="112"/>
        <v>0</v>
      </c>
      <c r="BR119" s="42">
        <f t="shared" si="112"/>
        <v>0</v>
      </c>
      <c r="BS119" s="42">
        <f t="shared" si="112"/>
        <v>0</v>
      </c>
      <c r="BT119" s="42">
        <f t="shared" si="112"/>
        <v>0</v>
      </c>
      <c r="BU119" s="42">
        <f t="shared" si="112"/>
        <v>0</v>
      </c>
      <c r="BV119" s="42">
        <f t="shared" si="112"/>
        <v>0</v>
      </c>
      <c r="BW119" s="42">
        <f t="shared" si="112"/>
        <v>0</v>
      </c>
      <c r="BX119" s="42">
        <f t="shared" si="112"/>
        <v>0</v>
      </c>
      <c r="BY119" s="42">
        <f t="shared" si="105"/>
        <v>2</v>
      </c>
      <c r="BZ119" s="42">
        <f t="shared" si="105"/>
        <v>0</v>
      </c>
      <c r="CA119" s="42"/>
      <c r="CB119" s="42">
        <f t="shared" si="113"/>
        <v>0</v>
      </c>
      <c r="CC119" s="43">
        <f t="shared" si="114"/>
        <v>0.99999996428571425</v>
      </c>
      <c r="CD119" s="42">
        <f t="shared" si="106"/>
        <v>55999998</v>
      </c>
      <c r="CE119" s="132">
        <f>+'[1]OCTUBRE 2019'!$H$1602</f>
        <v>8000000</v>
      </c>
      <c r="CF119" s="132"/>
      <c r="CG119" s="132"/>
      <c r="CH119" s="132"/>
      <c r="CI119" s="132"/>
      <c r="CJ119" s="132"/>
      <c r="CK119" s="132"/>
      <c r="CL119" s="132"/>
      <c r="CM119" s="132"/>
      <c r="CN119" s="132"/>
      <c r="CO119" s="132"/>
      <c r="CP119" s="132"/>
      <c r="CQ119" s="132"/>
      <c r="CR119" s="132"/>
      <c r="CS119" s="132"/>
      <c r="CT119" s="132"/>
      <c r="CU119" s="132"/>
      <c r="CV119" s="132"/>
      <c r="CW119" s="132"/>
      <c r="CX119" s="132">
        <f>+'[2]SEPTIEMBRE 2019'!$H$1418+'[2]SEPTIEMBRE 2019'!$H$1429+'[2]SEPTIEMBRE 2019'!$H$1432+'[2]SEPTIEMBRE 2019'!$H$1442-2</f>
        <v>47999998</v>
      </c>
      <c r="CY119" s="132"/>
      <c r="CZ119" s="132"/>
      <c r="DA119" s="132"/>
      <c r="DB119" s="43">
        <f t="shared" si="61"/>
        <v>3.5714285750998442E-8</v>
      </c>
      <c r="DC119" s="42">
        <f t="shared" si="81"/>
        <v>2</v>
      </c>
      <c r="DD119" s="42">
        <f t="shared" si="116"/>
        <v>0</v>
      </c>
      <c r="DE119" s="42">
        <f t="shared" si="116"/>
        <v>0</v>
      </c>
      <c r="DF119" s="42"/>
      <c r="DG119" s="42">
        <f>K119-CH119</f>
        <v>0</v>
      </c>
      <c r="DH119" s="42">
        <f t="shared" si="117"/>
        <v>0</v>
      </c>
      <c r="DI119" s="42">
        <f t="shared" si="117"/>
        <v>0</v>
      </c>
      <c r="DJ119" s="42">
        <f t="shared" si="117"/>
        <v>0</v>
      </c>
      <c r="DK119" s="42">
        <f t="shared" si="117"/>
        <v>0</v>
      </c>
      <c r="DL119" s="42">
        <f t="shared" si="117"/>
        <v>0</v>
      </c>
      <c r="DM119" s="42">
        <f t="shared" si="117"/>
        <v>0</v>
      </c>
      <c r="DN119" s="42">
        <f t="shared" si="117"/>
        <v>0</v>
      </c>
      <c r="DO119" s="42">
        <f t="shared" si="117"/>
        <v>0</v>
      </c>
      <c r="DP119" s="42">
        <f t="shared" si="117"/>
        <v>0</v>
      </c>
      <c r="DQ119" s="42">
        <f t="shared" si="117"/>
        <v>0</v>
      </c>
      <c r="DR119" s="42">
        <f t="shared" si="118"/>
        <v>0</v>
      </c>
      <c r="DS119" s="42">
        <f t="shared" si="118"/>
        <v>0</v>
      </c>
      <c r="DT119" s="42">
        <f t="shared" si="118"/>
        <v>0</v>
      </c>
      <c r="DU119" s="42">
        <f t="shared" si="118"/>
        <v>0</v>
      </c>
      <c r="DV119" s="42">
        <f t="shared" si="118"/>
        <v>0</v>
      </c>
      <c r="DW119" s="42">
        <f t="shared" si="118"/>
        <v>2</v>
      </c>
      <c r="DX119" s="42">
        <f t="shared" si="118"/>
        <v>0</v>
      </c>
      <c r="DY119" s="42"/>
      <c r="DZ119" s="42">
        <f>AD119-DA119</f>
        <v>0</v>
      </c>
      <c r="EB119" s="47">
        <f t="shared" si="62"/>
        <v>56000000</v>
      </c>
      <c r="EC119" s="47">
        <f t="shared" si="63"/>
        <v>56000000</v>
      </c>
      <c r="ED119" s="47">
        <f t="shared" si="64"/>
        <v>56000000</v>
      </c>
    </row>
    <row r="120" spans="1:136" ht="31.8" customHeight="1" x14ac:dyDescent="0.3">
      <c r="A120" s="129"/>
      <c r="B120" s="135"/>
      <c r="C120" s="78" t="s">
        <v>339</v>
      </c>
      <c r="D120" s="131" t="s">
        <v>340</v>
      </c>
      <c r="E120" s="40">
        <v>301</v>
      </c>
      <c r="F120" s="41" t="s">
        <v>302</v>
      </c>
      <c r="G120" s="42">
        <f t="shared" si="99"/>
        <v>53000000</v>
      </c>
      <c r="H120" s="132">
        <v>13000000</v>
      </c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42">
        <v>40000000</v>
      </c>
      <c r="AB120" s="132"/>
      <c r="AC120" s="132"/>
      <c r="AD120" s="132"/>
      <c r="AE120" s="43">
        <f t="shared" si="86"/>
        <v>1</v>
      </c>
      <c r="AF120" s="42">
        <f t="shared" si="100"/>
        <v>53000000</v>
      </c>
      <c r="AG120" s="132">
        <f>+'[12]JULIO 2019'!$J$1072</f>
        <v>13000000</v>
      </c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>
        <f>+'[10]ENERO 2019'!$AB$344</f>
        <v>40000000</v>
      </c>
      <c r="BA120" s="132"/>
      <c r="BB120" s="132"/>
      <c r="BC120" s="132"/>
      <c r="BD120" s="43">
        <f t="shared" si="59"/>
        <v>0</v>
      </c>
      <c r="BE120" s="42">
        <f t="shared" si="101"/>
        <v>0</v>
      </c>
      <c r="BF120" s="42">
        <f t="shared" si="115"/>
        <v>0</v>
      </c>
      <c r="BG120" s="42">
        <f t="shared" si="115"/>
        <v>0</v>
      </c>
      <c r="BH120" s="42">
        <f t="shared" si="115"/>
        <v>0</v>
      </c>
      <c r="BI120" s="42">
        <f t="shared" si="103"/>
        <v>0</v>
      </c>
      <c r="BJ120" s="42">
        <f t="shared" si="112"/>
        <v>0</v>
      </c>
      <c r="BK120" s="42">
        <f t="shared" si="112"/>
        <v>0</v>
      </c>
      <c r="BL120" s="42">
        <f t="shared" si="112"/>
        <v>0</v>
      </c>
      <c r="BM120" s="42">
        <f t="shared" si="112"/>
        <v>0</v>
      </c>
      <c r="BN120" s="42">
        <f t="shared" si="112"/>
        <v>0</v>
      </c>
      <c r="BO120" s="42">
        <f t="shared" si="112"/>
        <v>0</v>
      </c>
      <c r="BP120" s="42">
        <f t="shared" si="112"/>
        <v>0</v>
      </c>
      <c r="BQ120" s="42">
        <f t="shared" si="112"/>
        <v>0</v>
      </c>
      <c r="BR120" s="42">
        <f t="shared" si="112"/>
        <v>0</v>
      </c>
      <c r="BS120" s="42">
        <f t="shared" si="112"/>
        <v>0</v>
      </c>
      <c r="BT120" s="42">
        <f t="shared" si="112"/>
        <v>0</v>
      </c>
      <c r="BU120" s="42">
        <f t="shared" si="112"/>
        <v>0</v>
      </c>
      <c r="BV120" s="42">
        <f t="shared" si="112"/>
        <v>0</v>
      </c>
      <c r="BW120" s="42">
        <f t="shared" si="112"/>
        <v>0</v>
      </c>
      <c r="BX120" s="42">
        <f t="shared" si="112"/>
        <v>0</v>
      </c>
      <c r="BY120" s="42">
        <f t="shared" si="105"/>
        <v>0</v>
      </c>
      <c r="BZ120" s="42">
        <f t="shared" si="105"/>
        <v>0</v>
      </c>
      <c r="CA120" s="42"/>
      <c r="CB120" s="42">
        <f t="shared" si="113"/>
        <v>0</v>
      </c>
      <c r="CC120" s="43">
        <f t="shared" si="114"/>
        <v>1</v>
      </c>
      <c r="CD120" s="42">
        <f t="shared" si="106"/>
        <v>53000000</v>
      </c>
      <c r="CE120" s="132">
        <f>+'[3]NOVIEMBRE 2019'!$H$1796</f>
        <v>13000000</v>
      </c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>
        <f>+'[3]NOVIEMBRE 2019'!$H$1785</f>
        <v>40000000</v>
      </c>
      <c r="CY120" s="132"/>
      <c r="CZ120" s="132"/>
      <c r="DA120" s="132"/>
      <c r="DB120" s="43">
        <f t="shared" si="61"/>
        <v>0</v>
      </c>
      <c r="DC120" s="42">
        <f t="shared" si="81"/>
        <v>0</v>
      </c>
      <c r="DD120" s="42">
        <f t="shared" si="116"/>
        <v>0</v>
      </c>
      <c r="DE120" s="42">
        <f t="shared" si="116"/>
        <v>0</v>
      </c>
      <c r="DF120" s="42"/>
      <c r="DG120" s="42">
        <f>K120-CH120</f>
        <v>0</v>
      </c>
      <c r="DH120" s="42">
        <f t="shared" si="117"/>
        <v>0</v>
      </c>
      <c r="DI120" s="42">
        <f t="shared" si="117"/>
        <v>0</v>
      </c>
      <c r="DJ120" s="42">
        <f t="shared" si="117"/>
        <v>0</v>
      </c>
      <c r="DK120" s="42">
        <f t="shared" si="117"/>
        <v>0</v>
      </c>
      <c r="DL120" s="42">
        <f t="shared" si="117"/>
        <v>0</v>
      </c>
      <c r="DM120" s="42">
        <f t="shared" si="117"/>
        <v>0</v>
      </c>
      <c r="DN120" s="42">
        <f t="shared" si="117"/>
        <v>0</v>
      </c>
      <c r="DO120" s="42">
        <f t="shared" si="117"/>
        <v>0</v>
      </c>
      <c r="DP120" s="42">
        <f t="shared" si="117"/>
        <v>0</v>
      </c>
      <c r="DQ120" s="42">
        <f t="shared" si="117"/>
        <v>0</v>
      </c>
      <c r="DR120" s="42">
        <f t="shared" si="118"/>
        <v>0</v>
      </c>
      <c r="DS120" s="42">
        <f t="shared" si="118"/>
        <v>0</v>
      </c>
      <c r="DT120" s="42">
        <f t="shared" si="118"/>
        <v>0</v>
      </c>
      <c r="DU120" s="42">
        <f t="shared" si="118"/>
        <v>0</v>
      </c>
      <c r="DV120" s="42">
        <f t="shared" si="118"/>
        <v>0</v>
      </c>
      <c r="DW120" s="42">
        <f t="shared" si="118"/>
        <v>0</v>
      </c>
      <c r="DX120" s="42">
        <f t="shared" si="118"/>
        <v>0</v>
      </c>
      <c r="DY120" s="42"/>
      <c r="DZ120" s="42">
        <f>AD120-DA120</f>
        <v>0</v>
      </c>
      <c r="EB120" s="47">
        <f t="shared" si="62"/>
        <v>53000000</v>
      </c>
      <c r="EC120" s="47">
        <f t="shared" si="63"/>
        <v>53000000</v>
      </c>
      <c r="ED120" s="47">
        <f t="shared" si="64"/>
        <v>53000000</v>
      </c>
    </row>
    <row r="121" spans="1:136" s="73" customFormat="1" ht="21" customHeight="1" thickBot="1" x14ac:dyDescent="0.35">
      <c r="A121" s="119"/>
      <c r="B121" s="136" t="s">
        <v>341</v>
      </c>
      <c r="C121" s="137"/>
      <c r="D121" s="137"/>
      <c r="E121" s="137"/>
      <c r="F121" s="138"/>
      <c r="G121" s="92">
        <f t="shared" ref="G121:AD121" si="119">SUM(G105:G120)</f>
        <v>3687641610</v>
      </c>
      <c r="H121" s="92">
        <f t="shared" si="119"/>
        <v>444106222</v>
      </c>
      <c r="I121" s="92">
        <f t="shared" si="119"/>
        <v>180000000</v>
      </c>
      <c r="J121" s="92">
        <f t="shared" si="119"/>
        <v>0</v>
      </c>
      <c r="K121" s="92">
        <f t="shared" si="119"/>
        <v>681816144</v>
      </c>
      <c r="L121" s="92">
        <f t="shared" si="119"/>
        <v>0</v>
      </c>
      <c r="M121" s="92">
        <f t="shared" si="119"/>
        <v>208000000</v>
      </c>
      <c r="N121" s="92">
        <f t="shared" si="119"/>
        <v>0</v>
      </c>
      <c r="O121" s="92">
        <f t="shared" si="119"/>
        <v>0</v>
      </c>
      <c r="P121" s="92">
        <f t="shared" si="119"/>
        <v>0</v>
      </c>
      <c r="Q121" s="92">
        <f t="shared" si="119"/>
        <v>0</v>
      </c>
      <c r="R121" s="92">
        <f t="shared" si="119"/>
        <v>0</v>
      </c>
      <c r="S121" s="92">
        <f t="shared" si="119"/>
        <v>0</v>
      </c>
      <c r="T121" s="92">
        <f t="shared" si="119"/>
        <v>0</v>
      </c>
      <c r="U121" s="92">
        <f t="shared" si="119"/>
        <v>0</v>
      </c>
      <c r="V121" s="92">
        <f t="shared" si="119"/>
        <v>0</v>
      </c>
      <c r="W121" s="92">
        <f t="shared" si="119"/>
        <v>0</v>
      </c>
      <c r="X121" s="92">
        <f t="shared" si="119"/>
        <v>100000000</v>
      </c>
      <c r="Y121" s="92">
        <f t="shared" si="119"/>
        <v>32712008</v>
      </c>
      <c r="Z121" s="92">
        <f t="shared" si="119"/>
        <v>114788955</v>
      </c>
      <c r="AA121" s="92">
        <f t="shared" si="119"/>
        <v>1770728185</v>
      </c>
      <c r="AB121" s="92">
        <f t="shared" si="119"/>
        <v>0</v>
      </c>
      <c r="AC121" s="92">
        <f t="shared" si="119"/>
        <v>0</v>
      </c>
      <c r="AD121" s="92">
        <f t="shared" si="119"/>
        <v>155490096</v>
      </c>
      <c r="AE121" s="71">
        <f t="shared" si="86"/>
        <v>0.99019739854817401</v>
      </c>
      <c r="AF121" s="92">
        <f>SUM(AF105:AF120)</f>
        <v>3651493129</v>
      </c>
      <c r="AG121" s="92">
        <f>SUM(AG105:AG120)</f>
        <v>443770850</v>
      </c>
      <c r="AH121" s="92">
        <f>SUM(AH105:AH120)</f>
        <v>179513390</v>
      </c>
      <c r="AI121" s="92">
        <f>SUM(AI105:AI120)</f>
        <v>0</v>
      </c>
      <c r="AJ121" s="92"/>
      <c r="AK121" s="92">
        <f t="shared" ref="AK121:BC121" si="120">SUM(AK105:AK120)</f>
        <v>0</v>
      </c>
      <c r="AL121" s="92">
        <f t="shared" si="120"/>
        <v>200411327</v>
      </c>
      <c r="AM121" s="92">
        <f t="shared" si="120"/>
        <v>0</v>
      </c>
      <c r="AN121" s="92">
        <f t="shared" si="120"/>
        <v>0</v>
      </c>
      <c r="AO121" s="92">
        <f t="shared" si="120"/>
        <v>0</v>
      </c>
      <c r="AP121" s="92">
        <f t="shared" si="120"/>
        <v>0</v>
      </c>
      <c r="AQ121" s="92">
        <f t="shared" si="120"/>
        <v>0</v>
      </c>
      <c r="AR121" s="92">
        <f t="shared" si="120"/>
        <v>0</v>
      </c>
      <c r="AS121" s="92">
        <f t="shared" si="120"/>
        <v>0</v>
      </c>
      <c r="AT121" s="92">
        <f t="shared" si="120"/>
        <v>0</v>
      </c>
      <c r="AU121" s="92">
        <f t="shared" si="120"/>
        <v>0</v>
      </c>
      <c r="AV121" s="92">
        <f t="shared" si="120"/>
        <v>0</v>
      </c>
      <c r="AW121" s="92">
        <f t="shared" si="120"/>
        <v>98046000</v>
      </c>
      <c r="AX121" s="92">
        <f t="shared" si="120"/>
        <v>32712008</v>
      </c>
      <c r="AY121" s="92">
        <f t="shared" si="120"/>
        <v>110941940</v>
      </c>
      <c r="AZ121" s="92">
        <f t="shared" si="120"/>
        <v>1757659170</v>
      </c>
      <c r="BA121" s="92">
        <f t="shared" si="120"/>
        <v>0</v>
      </c>
      <c r="BB121" s="92">
        <f t="shared" si="120"/>
        <v>0</v>
      </c>
      <c r="BC121" s="92">
        <f t="shared" si="120"/>
        <v>146622300</v>
      </c>
      <c r="BD121" s="139">
        <f t="shared" si="59"/>
        <v>9.8026014518259874E-3</v>
      </c>
      <c r="BE121" s="92">
        <f t="shared" ref="BE121:CB121" si="121">SUM(BE105:BE120)</f>
        <v>36148481</v>
      </c>
      <c r="BF121" s="92">
        <f t="shared" si="121"/>
        <v>335372</v>
      </c>
      <c r="BG121" s="92">
        <f t="shared" si="121"/>
        <v>486610</v>
      </c>
      <c r="BH121" s="92">
        <f t="shared" si="121"/>
        <v>0</v>
      </c>
      <c r="BI121" s="92">
        <f t="shared" si="121"/>
        <v>0</v>
      </c>
      <c r="BJ121" s="92">
        <f t="shared" si="121"/>
        <v>0</v>
      </c>
      <c r="BK121" s="92">
        <f t="shared" si="121"/>
        <v>7588673</v>
      </c>
      <c r="BL121" s="92">
        <f t="shared" si="121"/>
        <v>0</v>
      </c>
      <c r="BM121" s="92">
        <f t="shared" si="121"/>
        <v>0</v>
      </c>
      <c r="BN121" s="92">
        <f t="shared" si="121"/>
        <v>0</v>
      </c>
      <c r="BO121" s="92">
        <f t="shared" si="121"/>
        <v>0</v>
      </c>
      <c r="BP121" s="92">
        <f t="shared" si="121"/>
        <v>0</v>
      </c>
      <c r="BQ121" s="92">
        <f t="shared" si="121"/>
        <v>0</v>
      </c>
      <c r="BR121" s="92">
        <f t="shared" si="121"/>
        <v>0</v>
      </c>
      <c r="BS121" s="92">
        <f t="shared" si="121"/>
        <v>0</v>
      </c>
      <c r="BT121" s="92">
        <f t="shared" si="121"/>
        <v>0</v>
      </c>
      <c r="BU121" s="92">
        <f t="shared" si="121"/>
        <v>0</v>
      </c>
      <c r="BV121" s="92">
        <f t="shared" si="121"/>
        <v>1954000</v>
      </c>
      <c r="BW121" s="92">
        <f t="shared" si="121"/>
        <v>0</v>
      </c>
      <c r="BX121" s="92">
        <f t="shared" si="121"/>
        <v>3847015</v>
      </c>
      <c r="BY121" s="92">
        <f t="shared" si="121"/>
        <v>13069015</v>
      </c>
      <c r="BZ121" s="92">
        <f t="shared" si="121"/>
        <v>0</v>
      </c>
      <c r="CA121" s="92">
        <f t="shared" si="121"/>
        <v>0</v>
      </c>
      <c r="CB121" s="92">
        <f t="shared" si="121"/>
        <v>8867796</v>
      </c>
      <c r="CC121" s="71">
        <f t="shared" si="114"/>
        <v>0.80598386077978978</v>
      </c>
      <c r="CD121" s="92">
        <f t="shared" ref="CD121:DA121" si="122">SUM(CD105:CD120)</f>
        <v>2972179622</v>
      </c>
      <c r="CE121" s="92">
        <f t="shared" si="122"/>
        <v>443770850</v>
      </c>
      <c r="CF121" s="92">
        <f t="shared" si="122"/>
        <v>177113390</v>
      </c>
      <c r="CG121" s="92">
        <f t="shared" si="122"/>
        <v>0</v>
      </c>
      <c r="CH121" s="92">
        <f t="shared" si="122"/>
        <v>155239307</v>
      </c>
      <c r="CI121" s="92">
        <f t="shared" si="122"/>
        <v>0</v>
      </c>
      <c r="CJ121" s="92">
        <f t="shared" si="122"/>
        <v>205876669</v>
      </c>
      <c r="CK121" s="92">
        <f t="shared" si="122"/>
        <v>0</v>
      </c>
      <c r="CL121" s="92">
        <f t="shared" si="122"/>
        <v>0</v>
      </c>
      <c r="CM121" s="92">
        <f t="shared" si="122"/>
        <v>0</v>
      </c>
      <c r="CN121" s="92">
        <f t="shared" si="122"/>
        <v>0</v>
      </c>
      <c r="CO121" s="92">
        <f t="shared" si="122"/>
        <v>0</v>
      </c>
      <c r="CP121" s="92">
        <f t="shared" si="122"/>
        <v>0</v>
      </c>
      <c r="CQ121" s="92">
        <f t="shared" si="122"/>
        <v>0</v>
      </c>
      <c r="CR121" s="92">
        <f t="shared" si="122"/>
        <v>0</v>
      </c>
      <c r="CS121" s="92">
        <f t="shared" si="122"/>
        <v>0</v>
      </c>
      <c r="CT121" s="92">
        <f t="shared" si="122"/>
        <v>0</v>
      </c>
      <c r="CU121" s="92">
        <f t="shared" si="122"/>
        <v>96846000</v>
      </c>
      <c r="CV121" s="92">
        <f t="shared" si="122"/>
        <v>27246666</v>
      </c>
      <c r="CW121" s="92">
        <f t="shared" si="122"/>
        <v>50941940</v>
      </c>
      <c r="CX121" s="92">
        <f t="shared" si="122"/>
        <v>1717036386</v>
      </c>
      <c r="CY121" s="92">
        <f t="shared" si="122"/>
        <v>0</v>
      </c>
      <c r="CZ121" s="92">
        <f t="shared" si="122"/>
        <v>0</v>
      </c>
      <c r="DA121" s="92">
        <f t="shared" si="122"/>
        <v>98108414</v>
      </c>
      <c r="DB121" s="71">
        <f t="shared" si="61"/>
        <v>0.19401613922021022</v>
      </c>
      <c r="DC121" s="92">
        <f t="shared" ref="DC121:DZ121" si="123">SUM(DC105:DC120)</f>
        <v>715461988</v>
      </c>
      <c r="DD121" s="92">
        <f t="shared" si="123"/>
        <v>335372</v>
      </c>
      <c r="DE121" s="92">
        <f t="shared" si="123"/>
        <v>2886610</v>
      </c>
      <c r="DF121" s="92">
        <f t="shared" si="123"/>
        <v>0</v>
      </c>
      <c r="DG121" s="92">
        <f t="shared" si="123"/>
        <v>526576837</v>
      </c>
      <c r="DH121" s="92">
        <f t="shared" si="123"/>
        <v>0</v>
      </c>
      <c r="DI121" s="92">
        <f t="shared" si="123"/>
        <v>2123331</v>
      </c>
      <c r="DJ121" s="92">
        <f t="shared" si="123"/>
        <v>0</v>
      </c>
      <c r="DK121" s="92">
        <f t="shared" si="123"/>
        <v>0</v>
      </c>
      <c r="DL121" s="92">
        <f t="shared" si="123"/>
        <v>0</v>
      </c>
      <c r="DM121" s="92">
        <f t="shared" si="123"/>
        <v>0</v>
      </c>
      <c r="DN121" s="92">
        <f t="shared" si="123"/>
        <v>0</v>
      </c>
      <c r="DO121" s="92">
        <f t="shared" si="123"/>
        <v>0</v>
      </c>
      <c r="DP121" s="92">
        <f t="shared" si="123"/>
        <v>0</v>
      </c>
      <c r="DQ121" s="92">
        <f t="shared" si="123"/>
        <v>0</v>
      </c>
      <c r="DR121" s="92">
        <f t="shared" si="123"/>
        <v>0</v>
      </c>
      <c r="DS121" s="92">
        <f t="shared" si="123"/>
        <v>0</v>
      </c>
      <c r="DT121" s="92">
        <f t="shared" si="123"/>
        <v>3154000</v>
      </c>
      <c r="DU121" s="92">
        <f t="shared" si="123"/>
        <v>5465342</v>
      </c>
      <c r="DV121" s="92">
        <f t="shared" si="123"/>
        <v>63847015</v>
      </c>
      <c r="DW121" s="92">
        <f t="shared" si="123"/>
        <v>53691799</v>
      </c>
      <c r="DX121" s="92">
        <f t="shared" si="123"/>
        <v>0</v>
      </c>
      <c r="DY121" s="92">
        <f t="shared" si="123"/>
        <v>0</v>
      </c>
      <c r="DZ121" s="92">
        <f t="shared" si="123"/>
        <v>57381682</v>
      </c>
      <c r="EB121" s="47">
        <f t="shared" si="62"/>
        <v>3687641610</v>
      </c>
      <c r="EC121" s="47">
        <f t="shared" si="63"/>
        <v>3687641610</v>
      </c>
      <c r="ED121" s="47">
        <f t="shared" si="64"/>
        <v>3687641610</v>
      </c>
    </row>
    <row r="122" spans="1:136" ht="45.6" customHeight="1" thickTop="1" thickBot="1" x14ac:dyDescent="0.35">
      <c r="A122" s="140" t="s">
        <v>342</v>
      </c>
      <c r="B122" s="141" t="s">
        <v>343</v>
      </c>
      <c r="C122" s="78" t="s">
        <v>344</v>
      </c>
      <c r="D122" s="39" t="s">
        <v>345</v>
      </c>
      <c r="E122" s="142">
        <v>510</v>
      </c>
      <c r="F122" s="41" t="s">
        <v>346</v>
      </c>
      <c r="G122" s="42">
        <f t="shared" ref="G122:G141" si="124">SUM(H122:AD122)</f>
        <v>0</v>
      </c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>
        <f>2500000-2500000</f>
        <v>0</v>
      </c>
      <c r="AE122" s="43" t="e">
        <f t="shared" si="86"/>
        <v>#DIV/0!</v>
      </c>
      <c r="AF122" s="42">
        <f t="shared" ref="AF122:AF141" si="125">SUM(AG122:BC122)</f>
        <v>0</v>
      </c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3" t="e">
        <f t="shared" si="59"/>
        <v>#DIV/0!</v>
      </c>
      <c r="BE122" s="42">
        <f t="shared" ref="BE122:BE141" si="126">SUM(BF122:CB122)</f>
        <v>0</v>
      </c>
      <c r="BF122" s="42">
        <f t="shared" ref="BF122:BH130" si="127">H122-AG122</f>
        <v>0</v>
      </c>
      <c r="BG122" s="42">
        <f t="shared" si="127"/>
        <v>0</v>
      </c>
      <c r="BH122" s="42"/>
      <c r="BI122" s="42">
        <f t="shared" ref="BI122:BI141" si="128">+K122-AJ122</f>
        <v>0</v>
      </c>
      <c r="BJ122" s="42">
        <f t="shared" ref="BJ122:BY130" si="129">L122-AK122</f>
        <v>0</v>
      </c>
      <c r="BK122" s="42">
        <f t="shared" si="129"/>
        <v>0</v>
      </c>
      <c r="BL122" s="42">
        <f t="shared" si="129"/>
        <v>0</v>
      </c>
      <c r="BM122" s="42">
        <f t="shared" si="129"/>
        <v>0</v>
      </c>
      <c r="BN122" s="42">
        <f t="shared" si="129"/>
        <v>0</v>
      </c>
      <c r="BO122" s="42">
        <f t="shared" si="129"/>
        <v>0</v>
      </c>
      <c r="BP122" s="42">
        <f t="shared" si="129"/>
        <v>0</v>
      </c>
      <c r="BQ122" s="42">
        <f t="shared" si="129"/>
        <v>0</v>
      </c>
      <c r="BR122" s="42">
        <f t="shared" si="129"/>
        <v>0</v>
      </c>
      <c r="BS122" s="42">
        <f t="shared" si="129"/>
        <v>0</v>
      </c>
      <c r="BT122" s="42">
        <f t="shared" si="129"/>
        <v>0</v>
      </c>
      <c r="BU122" s="42">
        <f t="shared" si="129"/>
        <v>0</v>
      </c>
      <c r="BV122" s="42">
        <f t="shared" si="129"/>
        <v>0</v>
      </c>
      <c r="BW122" s="42">
        <f t="shared" si="129"/>
        <v>0</v>
      </c>
      <c r="BX122" s="42">
        <f t="shared" si="129"/>
        <v>0</v>
      </c>
      <c r="BY122" s="42">
        <f t="shared" si="129"/>
        <v>0</v>
      </c>
      <c r="BZ122" s="42">
        <f t="shared" ref="BZ122:BZ130" si="130">AB122-BA122</f>
        <v>0</v>
      </c>
      <c r="CA122" s="42"/>
      <c r="CB122" s="42">
        <f t="shared" ref="CB122:CB130" si="131">AD122-BC122</f>
        <v>0</v>
      </c>
      <c r="CC122" s="43" t="e">
        <f t="shared" si="114"/>
        <v>#DIV/0!</v>
      </c>
      <c r="CD122" s="42">
        <f t="shared" ref="CD122:CD141" si="132">SUM(CE122:DA122)</f>
        <v>0</v>
      </c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3" t="e">
        <f t="shared" si="61"/>
        <v>#DIV/0!</v>
      </c>
      <c r="DC122" s="42">
        <f t="shared" ref="DC122:DC141" si="133">SUM(DD122:DZ122)</f>
        <v>0</v>
      </c>
      <c r="DD122" s="42">
        <f t="shared" ref="DD122:DF130" si="134">H122-CE122</f>
        <v>0</v>
      </c>
      <c r="DE122" s="42">
        <f t="shared" si="134"/>
        <v>0</v>
      </c>
      <c r="DF122" s="42"/>
      <c r="DG122" s="42">
        <f t="shared" ref="DG122:DV137" si="135">K122-CH122</f>
        <v>0</v>
      </c>
      <c r="DH122" s="42">
        <f t="shared" si="135"/>
        <v>0</v>
      </c>
      <c r="DI122" s="42">
        <f t="shared" si="135"/>
        <v>0</v>
      </c>
      <c r="DJ122" s="42">
        <f t="shared" si="135"/>
        <v>0</v>
      </c>
      <c r="DK122" s="42">
        <f t="shared" si="135"/>
        <v>0</v>
      </c>
      <c r="DL122" s="42">
        <f t="shared" si="135"/>
        <v>0</v>
      </c>
      <c r="DM122" s="42">
        <f t="shared" si="135"/>
        <v>0</v>
      </c>
      <c r="DN122" s="42">
        <f t="shared" si="135"/>
        <v>0</v>
      </c>
      <c r="DO122" s="42">
        <f t="shared" si="135"/>
        <v>0</v>
      </c>
      <c r="DP122" s="42">
        <f t="shared" si="135"/>
        <v>0</v>
      </c>
      <c r="DQ122" s="42">
        <f t="shared" si="135"/>
        <v>0</v>
      </c>
      <c r="DR122" s="42">
        <f t="shared" si="135"/>
        <v>0</v>
      </c>
      <c r="DS122" s="42">
        <f t="shared" si="135"/>
        <v>0</v>
      </c>
      <c r="DT122" s="42">
        <f t="shared" si="135"/>
        <v>0</v>
      </c>
      <c r="DU122" s="42">
        <f t="shared" si="135"/>
        <v>0</v>
      </c>
      <c r="DV122" s="42">
        <f t="shared" si="135"/>
        <v>0</v>
      </c>
      <c r="DW122" s="42">
        <f t="shared" ref="DW122:DX130" si="136">AA122-CX122</f>
        <v>0</v>
      </c>
      <c r="DX122" s="42">
        <f t="shared" si="136"/>
        <v>0</v>
      </c>
      <c r="DY122" s="42"/>
      <c r="DZ122" s="42">
        <f t="shared" ref="DZ122:DZ130" si="137">AD122-DA122</f>
        <v>0</v>
      </c>
      <c r="EB122" s="47">
        <f t="shared" si="62"/>
        <v>0</v>
      </c>
      <c r="EC122" s="47">
        <f t="shared" si="63"/>
        <v>0</v>
      </c>
      <c r="ED122" s="47">
        <f t="shared" si="64"/>
        <v>0</v>
      </c>
    </row>
    <row r="123" spans="1:136" ht="26.4" customHeight="1" thickTop="1" x14ac:dyDescent="0.3">
      <c r="A123" s="82"/>
      <c r="B123" s="143" t="s">
        <v>347</v>
      </c>
      <c r="C123" s="78" t="s">
        <v>348</v>
      </c>
      <c r="D123" s="39" t="s">
        <v>349</v>
      </c>
      <c r="E123" s="142">
        <v>111</v>
      </c>
      <c r="F123" s="41" t="s">
        <v>302</v>
      </c>
      <c r="G123" s="42">
        <f t="shared" si="124"/>
        <v>11469851222</v>
      </c>
      <c r="H123" s="42"/>
      <c r="I123" s="42"/>
      <c r="J123" s="42"/>
      <c r="K123" s="42"/>
      <c r="L123" s="42">
        <v>10500000000</v>
      </c>
      <c r="M123" s="42"/>
      <c r="N123" s="42"/>
      <c r="O123" s="42">
        <f>130000000+180000000-126444390</f>
        <v>183555610</v>
      </c>
      <c r="P123" s="42">
        <f>266000000+30000000-41930300-220000000</f>
        <v>34069700</v>
      </c>
      <c r="Q123" s="42">
        <f>450000000+168723421-45000000-341800300</f>
        <v>231923121</v>
      </c>
      <c r="R123" s="42">
        <f>370000000+122156723-8786495</f>
        <v>483370228</v>
      </c>
      <c r="S123" s="42"/>
      <c r="T123" s="42">
        <f>4772680</f>
        <v>4772680</v>
      </c>
      <c r="U123" s="42"/>
      <c r="V123" s="42">
        <f>60000000+4273051-32113168</f>
        <v>32159883</v>
      </c>
      <c r="W123" s="42"/>
      <c r="X123" s="42"/>
      <c r="Y123" s="42"/>
      <c r="Z123" s="42"/>
      <c r="AA123" s="42"/>
      <c r="AB123" s="42"/>
      <c r="AC123" s="42"/>
      <c r="AD123" s="42"/>
      <c r="AE123" s="43">
        <f t="shared" si="86"/>
        <v>7.7740573242110353E-2</v>
      </c>
      <c r="AF123" s="42">
        <f t="shared" si="125"/>
        <v>891672809</v>
      </c>
      <c r="AG123" s="42"/>
      <c r="AH123" s="42"/>
      <c r="AI123" s="42"/>
      <c r="AJ123" s="42"/>
      <c r="AK123" s="42"/>
      <c r="AL123" s="42"/>
      <c r="AM123" s="42"/>
      <c r="AN123" s="42">
        <f>+'[3]NOVIEMBRE 2019'!$Q$18</f>
        <v>167117817</v>
      </c>
      <c r="AO123" s="42">
        <f>+'[11]ABRIL 2019'!$Q$18</f>
        <v>34069700</v>
      </c>
      <c r="AP123" s="42">
        <f>+'[1]OCTUBRE 2019'!$S$18</f>
        <v>174955181</v>
      </c>
      <c r="AQ123" s="42">
        <f>+'[8]AGOSTO 2019'!$S$18</f>
        <v>483370228</v>
      </c>
      <c r="AR123" s="42"/>
      <c r="AS123" s="42"/>
      <c r="AT123" s="42"/>
      <c r="AU123" s="42">
        <f>+'[12]JULIO 2019'!$W$18</f>
        <v>32159883</v>
      </c>
      <c r="AV123" s="42"/>
      <c r="AW123" s="42"/>
      <c r="AX123" s="42"/>
      <c r="AY123" s="42"/>
      <c r="AZ123" s="42"/>
      <c r="BA123" s="42"/>
      <c r="BB123" s="42"/>
      <c r="BC123" s="42"/>
      <c r="BD123" s="43">
        <f t="shared" si="59"/>
        <v>0.92225942675788963</v>
      </c>
      <c r="BE123" s="42">
        <f t="shared" si="126"/>
        <v>10578178413</v>
      </c>
      <c r="BF123" s="42">
        <f t="shared" si="127"/>
        <v>0</v>
      </c>
      <c r="BG123" s="42">
        <f t="shared" si="127"/>
        <v>0</v>
      </c>
      <c r="BH123" s="42"/>
      <c r="BI123" s="42">
        <f t="shared" si="128"/>
        <v>0</v>
      </c>
      <c r="BJ123" s="42">
        <f t="shared" si="129"/>
        <v>10500000000</v>
      </c>
      <c r="BK123" s="42">
        <f t="shared" si="129"/>
        <v>0</v>
      </c>
      <c r="BL123" s="42">
        <f t="shared" si="129"/>
        <v>0</v>
      </c>
      <c r="BM123" s="42">
        <f t="shared" si="129"/>
        <v>16437793</v>
      </c>
      <c r="BN123" s="42">
        <f t="shared" si="129"/>
        <v>0</v>
      </c>
      <c r="BO123" s="42">
        <f t="shared" si="129"/>
        <v>56967940</v>
      </c>
      <c r="BP123" s="42">
        <f t="shared" si="129"/>
        <v>0</v>
      </c>
      <c r="BQ123" s="42">
        <f t="shared" si="129"/>
        <v>0</v>
      </c>
      <c r="BR123" s="42">
        <f t="shared" si="129"/>
        <v>4772680</v>
      </c>
      <c r="BS123" s="42">
        <f t="shared" si="129"/>
        <v>0</v>
      </c>
      <c r="BT123" s="42">
        <f t="shared" si="129"/>
        <v>0</v>
      </c>
      <c r="BU123" s="42">
        <f t="shared" si="129"/>
        <v>0</v>
      </c>
      <c r="BV123" s="42">
        <f t="shared" si="129"/>
        <v>0</v>
      </c>
      <c r="BW123" s="42">
        <f t="shared" si="129"/>
        <v>0</v>
      </c>
      <c r="BX123" s="42">
        <f t="shared" si="129"/>
        <v>0</v>
      </c>
      <c r="BY123" s="42">
        <f t="shared" si="129"/>
        <v>0</v>
      </c>
      <c r="BZ123" s="42">
        <f t="shared" si="130"/>
        <v>0</v>
      </c>
      <c r="CA123" s="42"/>
      <c r="CB123" s="42">
        <f t="shared" si="131"/>
        <v>0</v>
      </c>
      <c r="CC123" s="43">
        <f t="shared" si="114"/>
        <v>7.6429191192868992E-2</v>
      </c>
      <c r="CD123" s="42">
        <f t="shared" si="132"/>
        <v>876631452</v>
      </c>
      <c r="CE123" s="42"/>
      <c r="CF123" s="42"/>
      <c r="CG123" s="42"/>
      <c r="CH123" s="42"/>
      <c r="CI123" s="42"/>
      <c r="CJ123" s="42"/>
      <c r="CK123" s="42"/>
      <c r="CL123" s="42">
        <f>+'[3]NOVIEMBRE 2019'!$H$19+'[3]NOVIEMBRE 2019'!$H$21+'[3]NOVIEMBRE 2019'!$H$23+'[3]NOVIEMBRE 2019'!$H$31+'[3]NOVIEMBRE 2019'!$H$41+'[3]NOVIEMBRE 2019'!$H$46+'[3]NOVIEMBRE 2019'!$H$47</f>
        <v>152255141</v>
      </c>
      <c r="CM123" s="42">
        <f>+'[7]MAYO 2019'!$H$25</f>
        <v>34069700</v>
      </c>
      <c r="CN123" s="42">
        <f>+'[3]NOVIEMBRE 2019'!$H$29+'[3]NOVIEMBRE 2019'!$H$43</f>
        <v>174776500</v>
      </c>
      <c r="CO123" s="42">
        <f>+'[12]JULIO 2019'!$H$27+'[12]JULIO 2019'!$H$35</f>
        <v>483370228</v>
      </c>
      <c r="CP123" s="42"/>
      <c r="CQ123" s="42"/>
      <c r="CR123" s="42"/>
      <c r="CS123" s="42">
        <f>+'[12]JULIO 2019'!$H$39</f>
        <v>32159883</v>
      </c>
      <c r="CT123" s="42"/>
      <c r="CU123" s="42"/>
      <c r="CV123" s="42"/>
      <c r="CW123" s="42"/>
      <c r="CX123" s="42"/>
      <c r="CY123" s="42"/>
      <c r="CZ123" s="42"/>
      <c r="DA123" s="42"/>
      <c r="DB123" s="43">
        <f t="shared" si="61"/>
        <v>0.92357080880713105</v>
      </c>
      <c r="DC123" s="42">
        <f t="shared" si="133"/>
        <v>10593219770</v>
      </c>
      <c r="DD123" s="42">
        <f t="shared" si="134"/>
        <v>0</v>
      </c>
      <c r="DE123" s="42">
        <f t="shared" si="134"/>
        <v>0</v>
      </c>
      <c r="DF123" s="42"/>
      <c r="DG123" s="42">
        <f t="shared" si="135"/>
        <v>0</v>
      </c>
      <c r="DH123" s="42">
        <f t="shared" si="135"/>
        <v>10500000000</v>
      </c>
      <c r="DI123" s="42">
        <f t="shared" si="135"/>
        <v>0</v>
      </c>
      <c r="DJ123" s="42">
        <f t="shared" si="135"/>
        <v>0</v>
      </c>
      <c r="DK123" s="42">
        <f t="shared" si="135"/>
        <v>31300469</v>
      </c>
      <c r="DL123" s="42">
        <f t="shared" si="135"/>
        <v>0</v>
      </c>
      <c r="DM123" s="42">
        <f t="shared" si="135"/>
        <v>57146621</v>
      </c>
      <c r="DN123" s="42">
        <f t="shared" si="135"/>
        <v>0</v>
      </c>
      <c r="DO123" s="42">
        <f t="shared" si="135"/>
        <v>0</v>
      </c>
      <c r="DP123" s="42">
        <f t="shared" si="135"/>
        <v>4772680</v>
      </c>
      <c r="DQ123" s="42">
        <f t="shared" si="135"/>
        <v>0</v>
      </c>
      <c r="DR123" s="42">
        <f t="shared" si="135"/>
        <v>0</v>
      </c>
      <c r="DS123" s="42">
        <f t="shared" si="135"/>
        <v>0</v>
      </c>
      <c r="DT123" s="42">
        <f t="shared" si="135"/>
        <v>0</v>
      </c>
      <c r="DU123" s="42">
        <f t="shared" si="135"/>
        <v>0</v>
      </c>
      <c r="DV123" s="42">
        <f t="shared" si="135"/>
        <v>0</v>
      </c>
      <c r="DW123" s="42">
        <f t="shared" si="136"/>
        <v>0</v>
      </c>
      <c r="DX123" s="42">
        <f t="shared" si="136"/>
        <v>0</v>
      </c>
      <c r="DY123" s="42"/>
      <c r="DZ123" s="42">
        <f t="shared" si="137"/>
        <v>0</v>
      </c>
      <c r="EB123" s="47">
        <f t="shared" si="62"/>
        <v>11469851222</v>
      </c>
      <c r="EC123" s="47">
        <f t="shared" si="63"/>
        <v>11469851222</v>
      </c>
      <c r="ED123" s="47">
        <f t="shared" si="64"/>
        <v>11469851222</v>
      </c>
    </row>
    <row r="124" spans="1:136" s="117" customFormat="1" ht="34.799999999999997" customHeight="1" x14ac:dyDescent="0.3">
      <c r="A124" s="82"/>
      <c r="B124" s="86"/>
      <c r="C124" s="144" t="s">
        <v>350</v>
      </c>
      <c r="D124" s="39" t="s">
        <v>351</v>
      </c>
      <c r="E124" s="145">
        <v>111</v>
      </c>
      <c r="F124" s="41" t="s">
        <v>352</v>
      </c>
      <c r="G124" s="42">
        <f t="shared" si="124"/>
        <v>1573951198</v>
      </c>
      <c r="H124" s="42"/>
      <c r="I124" s="42"/>
      <c r="J124" s="42"/>
      <c r="K124" s="42"/>
      <c r="L124" s="42">
        <f>1500000000-1500000000</f>
        <v>0</v>
      </c>
      <c r="M124" s="42"/>
      <c r="N124" s="42"/>
      <c r="O124" s="42">
        <f>147239396+120000000-104225677+126444390</f>
        <v>289458109</v>
      </c>
      <c r="P124" s="42">
        <f>5000000+135000000+41930300</f>
        <v>181930300</v>
      </c>
      <c r="Q124" s="42">
        <f>57000000</f>
        <v>57000000</v>
      </c>
      <c r="R124" s="42">
        <f>78000000</f>
        <v>78000000</v>
      </c>
      <c r="S124" s="42"/>
      <c r="T124" s="42">
        <v>66274562</v>
      </c>
      <c r="U124" s="42">
        <v>5000000</v>
      </c>
      <c r="V124" s="42">
        <f>17800000+100017010-20000000-74817010</f>
        <v>23000000</v>
      </c>
      <c r="W124" s="42">
        <v>20000000</v>
      </c>
      <c r="X124" s="42"/>
      <c r="Y124" s="42">
        <f>620237929-25000000</f>
        <v>595237929</v>
      </c>
      <c r="Z124" s="42"/>
      <c r="AA124" s="42"/>
      <c r="AB124" s="42"/>
      <c r="AC124" s="42">
        <f>123550000+296638+18000000-18000000</f>
        <v>123846638</v>
      </c>
      <c r="AD124" s="42">
        <f>70000000+16203660+15000000+33000000</f>
        <v>134203660</v>
      </c>
      <c r="AE124" s="115">
        <f t="shared" si="86"/>
        <v>0.75028655939305688</v>
      </c>
      <c r="AF124" s="42">
        <f t="shared" si="125"/>
        <v>1180914429</v>
      </c>
      <c r="AG124" s="116"/>
      <c r="AH124" s="116"/>
      <c r="AI124" s="116"/>
      <c r="AJ124" s="116"/>
      <c r="AK124" s="116"/>
      <c r="AL124" s="116"/>
      <c r="AM124" s="116"/>
      <c r="AN124" s="116">
        <f>+'[3]NOVIEMBRE 2019'!$Q$53</f>
        <v>289365728</v>
      </c>
      <c r="AO124" s="116">
        <f>+'[3]NOVIEMBRE 2019'!$R$53</f>
        <v>110023855</v>
      </c>
      <c r="AP124" s="116">
        <f>+'[3]NOVIEMBRE 2019'!$S$53</f>
        <v>31474170</v>
      </c>
      <c r="AQ124" s="116">
        <f>+'[8]AGOSTO 2019'!$S$49</f>
        <v>54907320</v>
      </c>
      <c r="AR124" s="116"/>
      <c r="AS124" s="116"/>
      <c r="AT124" s="116">
        <f>+'[9]FEBRERO 2019'!$V$26</f>
        <v>3567404</v>
      </c>
      <c r="AU124" s="116"/>
      <c r="AV124" s="116">
        <f>+'[3]NOVIEMBRE 2019'!$Y$53</f>
        <v>19955896</v>
      </c>
      <c r="AW124" s="116"/>
      <c r="AX124" s="116">
        <f>+'[3]NOVIEMBRE 2019'!$AA$53</f>
        <v>536437565</v>
      </c>
      <c r="AY124" s="116"/>
      <c r="AZ124" s="116"/>
      <c r="BA124" s="116"/>
      <c r="BB124" s="116">
        <f>+'[12]JULIO 2019'!$AE$45</f>
        <v>34000000</v>
      </c>
      <c r="BC124" s="116">
        <f>+'[3]NOVIEMBRE 2019'!$AG$53</f>
        <v>101182491</v>
      </c>
      <c r="BD124" s="115">
        <f t="shared" si="59"/>
        <v>0.24971344060694312</v>
      </c>
      <c r="BE124" s="42">
        <f t="shared" si="126"/>
        <v>393036769</v>
      </c>
      <c r="BF124" s="42">
        <f t="shared" si="127"/>
        <v>0</v>
      </c>
      <c r="BG124" s="42">
        <f t="shared" si="127"/>
        <v>0</v>
      </c>
      <c r="BH124" s="42"/>
      <c r="BI124" s="42">
        <f t="shared" si="128"/>
        <v>0</v>
      </c>
      <c r="BJ124" s="42">
        <f t="shared" si="129"/>
        <v>0</v>
      </c>
      <c r="BK124" s="42">
        <f t="shared" si="129"/>
        <v>0</v>
      </c>
      <c r="BL124" s="42">
        <f t="shared" si="129"/>
        <v>0</v>
      </c>
      <c r="BM124" s="42">
        <f t="shared" si="129"/>
        <v>92381</v>
      </c>
      <c r="BN124" s="42">
        <f t="shared" si="129"/>
        <v>71906445</v>
      </c>
      <c r="BO124" s="42">
        <f t="shared" si="129"/>
        <v>25525830</v>
      </c>
      <c r="BP124" s="42">
        <f t="shared" si="129"/>
        <v>23092680</v>
      </c>
      <c r="BQ124" s="42">
        <f t="shared" si="129"/>
        <v>0</v>
      </c>
      <c r="BR124" s="42">
        <f t="shared" si="129"/>
        <v>66274562</v>
      </c>
      <c r="BS124" s="42">
        <f t="shared" si="129"/>
        <v>1432596</v>
      </c>
      <c r="BT124" s="42">
        <f t="shared" si="129"/>
        <v>23000000</v>
      </c>
      <c r="BU124" s="42">
        <f t="shared" si="129"/>
        <v>44104</v>
      </c>
      <c r="BV124" s="42">
        <f t="shared" si="129"/>
        <v>0</v>
      </c>
      <c r="BW124" s="42">
        <f t="shared" si="129"/>
        <v>58800364</v>
      </c>
      <c r="BX124" s="42">
        <f t="shared" si="129"/>
        <v>0</v>
      </c>
      <c r="BY124" s="42">
        <f t="shared" si="129"/>
        <v>0</v>
      </c>
      <c r="BZ124" s="42">
        <f t="shared" si="130"/>
        <v>0</v>
      </c>
      <c r="CA124" s="42">
        <f>AC124-BB124</f>
        <v>89846638</v>
      </c>
      <c r="CB124" s="42">
        <f t="shared" si="131"/>
        <v>33021169</v>
      </c>
      <c r="CC124" s="115">
        <f t="shared" si="114"/>
        <v>0.70452626702089149</v>
      </c>
      <c r="CD124" s="42">
        <f t="shared" si="132"/>
        <v>1108889962</v>
      </c>
      <c r="CE124" s="116"/>
      <c r="CF124" s="116"/>
      <c r="CG124" s="116"/>
      <c r="CH124" s="116"/>
      <c r="CI124" s="116"/>
      <c r="CJ124" s="116"/>
      <c r="CK124" s="116"/>
      <c r="CL124" s="42">
        <f>+'[3]NOVIEMBRE 2019'!$H$60+'[3]NOVIEMBRE 2019'!$H$70+'[3]NOVIEMBRE 2019'!$H$77+'[3]NOVIEMBRE 2019'!$H$102+'[3]NOVIEMBRE 2019'!$H$109+'[3]NOVIEMBRE 2019'!$H$116+'[3]NOVIEMBRE 2019'!$H$125+'[3]NOVIEMBRE 2019'!$H$134</f>
        <v>286765728</v>
      </c>
      <c r="CM124" s="42">
        <f>+'[3]NOVIEMBRE 2019'!$H$64+'[3]NOVIEMBRE 2019'!$H$73+'[3]NOVIEMBRE 2019'!$H$89+'[3]NOVIEMBRE 2019'!$H$128</f>
        <v>110023855</v>
      </c>
      <c r="CN124" s="116">
        <f>+'[1]OCTUBRE 2019'!$H$62</f>
        <v>31474170</v>
      </c>
      <c r="CO124" s="116">
        <f>+'[12]JULIO 2019'!$H$58</f>
        <v>54907320</v>
      </c>
      <c r="CP124" s="116"/>
      <c r="CQ124" s="116"/>
      <c r="CR124" s="116">
        <f>+'[9]FEBRERO 2019'!$H$29</f>
        <v>3567404</v>
      </c>
      <c r="CS124" s="116"/>
      <c r="CT124" s="116">
        <f>+'[8]AGOSTO 2019'!$H$76</f>
        <v>19955896</v>
      </c>
      <c r="CU124" s="116"/>
      <c r="CV124" s="116">
        <f>+'[3]NOVIEMBRE 2019'!$H$75+'[3]NOVIEMBRE 2019'!$H$79+'[3]NOVIEMBRE 2019'!$H$94+'[3]NOVIEMBRE 2019'!$H$99+'[3]NOVIEMBRE 2019'!$H$123+'[3]NOVIEMBRE 2019'!$H$131+'[3]NOVIEMBRE 2019'!$H$137</f>
        <v>536437565</v>
      </c>
      <c r="CW124" s="116"/>
      <c r="CX124" s="116"/>
      <c r="CY124" s="116"/>
      <c r="CZ124" s="116"/>
      <c r="DA124" s="116">
        <f>+'[3]NOVIEMBRE 2019'!$H$54+'[3]NOVIEMBRE 2019'!$H$86+'[3]NOVIEMBRE 2019'!$H$106+'[3]NOVIEMBRE 2019'!$H$112+'[3]NOVIEMBRE 2019'!$H$119</f>
        <v>65758024</v>
      </c>
      <c r="DB124" s="115">
        <f t="shared" si="61"/>
        <v>0.29547373297910851</v>
      </c>
      <c r="DC124" s="42">
        <f t="shared" si="133"/>
        <v>465061236</v>
      </c>
      <c r="DD124" s="42">
        <f t="shared" si="134"/>
        <v>0</v>
      </c>
      <c r="DE124" s="42">
        <f t="shared" si="134"/>
        <v>0</v>
      </c>
      <c r="DF124" s="42">
        <f t="shared" si="134"/>
        <v>0</v>
      </c>
      <c r="DG124" s="42">
        <f t="shared" si="135"/>
        <v>0</v>
      </c>
      <c r="DH124" s="42">
        <f t="shared" si="135"/>
        <v>0</v>
      </c>
      <c r="DI124" s="42">
        <f t="shared" si="135"/>
        <v>0</v>
      </c>
      <c r="DJ124" s="42">
        <f t="shared" si="135"/>
        <v>0</v>
      </c>
      <c r="DK124" s="42">
        <f t="shared" si="135"/>
        <v>2692381</v>
      </c>
      <c r="DL124" s="42">
        <f t="shared" si="135"/>
        <v>71906445</v>
      </c>
      <c r="DM124" s="42">
        <f t="shared" si="135"/>
        <v>25525830</v>
      </c>
      <c r="DN124" s="42">
        <f t="shared" si="135"/>
        <v>23092680</v>
      </c>
      <c r="DO124" s="42">
        <f t="shared" si="135"/>
        <v>0</v>
      </c>
      <c r="DP124" s="42">
        <f t="shared" si="135"/>
        <v>66274562</v>
      </c>
      <c r="DQ124" s="42">
        <f t="shared" si="135"/>
        <v>1432596</v>
      </c>
      <c r="DR124" s="42">
        <f t="shared" si="135"/>
        <v>23000000</v>
      </c>
      <c r="DS124" s="42">
        <f t="shared" si="135"/>
        <v>44104</v>
      </c>
      <c r="DT124" s="42">
        <f t="shared" si="135"/>
        <v>0</v>
      </c>
      <c r="DU124" s="42">
        <f t="shared" si="135"/>
        <v>58800364</v>
      </c>
      <c r="DV124" s="42">
        <f t="shared" si="135"/>
        <v>0</v>
      </c>
      <c r="DW124" s="42">
        <f t="shared" si="136"/>
        <v>0</v>
      </c>
      <c r="DX124" s="42">
        <f t="shared" si="136"/>
        <v>0</v>
      </c>
      <c r="DY124" s="42">
        <f>AC124-CZ124</f>
        <v>123846638</v>
      </c>
      <c r="DZ124" s="42">
        <f t="shared" si="137"/>
        <v>68445636</v>
      </c>
      <c r="EB124" s="47">
        <f t="shared" si="62"/>
        <v>1573951198</v>
      </c>
      <c r="EC124" s="47">
        <f t="shared" si="63"/>
        <v>1573951198</v>
      </c>
      <c r="ED124" s="47">
        <f t="shared" si="64"/>
        <v>1573951198</v>
      </c>
      <c r="EF124" s="146"/>
    </row>
    <row r="125" spans="1:136" ht="33" customHeight="1" x14ac:dyDescent="0.3">
      <c r="A125" s="82"/>
      <c r="B125" s="147" t="s">
        <v>353</v>
      </c>
      <c r="C125" s="78" t="s">
        <v>354</v>
      </c>
      <c r="D125" s="39" t="s">
        <v>355</v>
      </c>
      <c r="E125" s="142">
        <v>211</v>
      </c>
      <c r="F125" s="41" t="s">
        <v>356</v>
      </c>
      <c r="G125" s="42">
        <f t="shared" si="124"/>
        <v>1254826690</v>
      </c>
      <c r="H125" s="42"/>
      <c r="I125" s="42"/>
      <c r="J125" s="42"/>
      <c r="K125" s="42"/>
      <c r="L125" s="42"/>
      <c r="M125" s="42"/>
      <c r="N125" s="42"/>
      <c r="O125" s="42">
        <f>300000000+340559960</f>
        <v>640559960</v>
      </c>
      <c r="P125" s="42">
        <f>159000000+80000000</f>
        <v>239000000</v>
      </c>
      <c r="Q125" s="42">
        <f>115000000</f>
        <v>115000000</v>
      </c>
      <c r="R125" s="42">
        <f>75000000-75000000</f>
        <v>0</v>
      </c>
      <c r="S125" s="42"/>
      <c r="T125" s="42">
        <v>45000000</v>
      </c>
      <c r="U125" s="42">
        <v>30905320</v>
      </c>
      <c r="V125" s="42">
        <f>45200000-45200000</f>
        <v>0</v>
      </c>
      <c r="W125" s="42"/>
      <c r="X125" s="42"/>
      <c r="Y125" s="42"/>
      <c r="Z125" s="42"/>
      <c r="AA125" s="42"/>
      <c r="AB125" s="42"/>
      <c r="AC125" s="42">
        <f>14405126+45956284</f>
        <v>60361410</v>
      </c>
      <c r="AD125" s="42">
        <f>93000000+22000000+9000000</f>
        <v>124000000</v>
      </c>
      <c r="AE125" s="43">
        <f t="shared" si="86"/>
        <v>0.86900876964929719</v>
      </c>
      <c r="AF125" s="42">
        <f t="shared" si="125"/>
        <v>1090455398</v>
      </c>
      <c r="AG125" s="42"/>
      <c r="AH125" s="42"/>
      <c r="AI125" s="42"/>
      <c r="AJ125" s="42"/>
      <c r="AK125" s="42"/>
      <c r="AL125" s="42"/>
      <c r="AM125" s="42"/>
      <c r="AN125" s="42">
        <f>+'[3]NOVIEMBRE 2019'!$Q$153</f>
        <v>593798487</v>
      </c>
      <c r="AO125" s="42">
        <f>+'[8]AGOSTO 2019'!$Q$110</f>
        <v>239000000</v>
      </c>
      <c r="AP125" s="42">
        <f>+'[3]NOVIEMBRE 2019'!$S$153</f>
        <v>100000000</v>
      </c>
      <c r="AQ125" s="42"/>
      <c r="AR125" s="42"/>
      <c r="AS125" s="42">
        <v>45000000</v>
      </c>
      <c r="AT125" s="42"/>
      <c r="AU125" s="42"/>
      <c r="AV125" s="42"/>
      <c r="AW125" s="42"/>
      <c r="AX125" s="42"/>
      <c r="AY125" s="42"/>
      <c r="AZ125" s="42"/>
      <c r="BA125" s="42"/>
      <c r="BB125" s="42">
        <f>+'[8]AGOSTO 2019'!$AE$110</f>
        <v>45956280</v>
      </c>
      <c r="BC125" s="42">
        <f>+'[1]OCTUBRE 2019'!$AG$137</f>
        <v>66700631</v>
      </c>
      <c r="BD125" s="43">
        <f t="shared" si="59"/>
        <v>0.13099123035070281</v>
      </c>
      <c r="BE125" s="42">
        <f t="shared" si="126"/>
        <v>164371292</v>
      </c>
      <c r="BF125" s="42">
        <f t="shared" si="127"/>
        <v>0</v>
      </c>
      <c r="BG125" s="42">
        <f t="shared" si="127"/>
        <v>0</v>
      </c>
      <c r="BH125" s="42">
        <f t="shared" si="127"/>
        <v>0</v>
      </c>
      <c r="BI125" s="42">
        <f t="shared" si="128"/>
        <v>0</v>
      </c>
      <c r="BJ125" s="42">
        <f t="shared" si="129"/>
        <v>0</v>
      </c>
      <c r="BK125" s="42">
        <f t="shared" si="129"/>
        <v>0</v>
      </c>
      <c r="BL125" s="42">
        <f t="shared" si="129"/>
        <v>0</v>
      </c>
      <c r="BM125" s="42">
        <f t="shared" si="129"/>
        <v>46761473</v>
      </c>
      <c r="BN125" s="42">
        <f t="shared" si="129"/>
        <v>0</v>
      </c>
      <c r="BO125" s="42">
        <f t="shared" si="129"/>
        <v>15000000</v>
      </c>
      <c r="BP125" s="42">
        <f t="shared" si="129"/>
        <v>0</v>
      </c>
      <c r="BQ125" s="42">
        <f t="shared" si="129"/>
        <v>0</v>
      </c>
      <c r="BR125" s="42">
        <f t="shared" si="129"/>
        <v>0</v>
      </c>
      <c r="BS125" s="42">
        <f t="shared" si="129"/>
        <v>30905320</v>
      </c>
      <c r="BT125" s="42">
        <f t="shared" si="129"/>
        <v>0</v>
      </c>
      <c r="BU125" s="42">
        <f t="shared" si="129"/>
        <v>0</v>
      </c>
      <c r="BV125" s="42">
        <f t="shared" si="129"/>
        <v>0</v>
      </c>
      <c r="BW125" s="42">
        <f t="shared" si="129"/>
        <v>0</v>
      </c>
      <c r="BX125" s="42">
        <f t="shared" si="129"/>
        <v>0</v>
      </c>
      <c r="BY125" s="42">
        <f t="shared" si="129"/>
        <v>0</v>
      </c>
      <c r="BZ125" s="42">
        <f t="shared" si="130"/>
        <v>0</v>
      </c>
      <c r="CA125" s="42">
        <f>AC125-BB125</f>
        <v>14405130</v>
      </c>
      <c r="CB125" s="42">
        <f t="shared" si="131"/>
        <v>57299369</v>
      </c>
      <c r="CC125" s="43">
        <f t="shared" si="114"/>
        <v>0.3494672909770512</v>
      </c>
      <c r="CD125" s="42">
        <f t="shared" si="132"/>
        <v>438520884</v>
      </c>
      <c r="CE125" s="42"/>
      <c r="CF125" s="42"/>
      <c r="CG125" s="42"/>
      <c r="CH125" s="42"/>
      <c r="CI125" s="42"/>
      <c r="CJ125" s="42"/>
      <c r="CK125" s="42"/>
      <c r="CL125" s="42">
        <f>+'[3]NOVIEMBRE 2019'!$H$162+'[3]NOVIEMBRE 2019'!$H$164+'[3]NOVIEMBRE 2019'!$H$167+'[3]NOVIEMBRE 2019'!$H$179+'[3]NOVIEMBRE 2019'!$H$182+'[3]NOVIEMBRE 2019'!$H$185+'[3]NOVIEMBRE 2019'!$H$188+'[3]NOVIEMBRE 2019'!$H$198</f>
        <v>325903627</v>
      </c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>
        <f>+'[7]MAYO 2019'!$H$80</f>
        <v>45956280</v>
      </c>
      <c r="DA125" s="116">
        <f>+'[3]NOVIEMBRE 2019'!$H$154+'[3]NOVIEMBRE 2019'!$H$159+'[3]NOVIEMBRE 2019'!$H$172+'[3]NOVIEMBRE 2019'!$H$191+'[3]NOVIEMBRE 2019'!$H$195</f>
        <v>66660977</v>
      </c>
      <c r="DB125" s="43">
        <f t="shared" si="61"/>
        <v>0.6505327090229488</v>
      </c>
      <c r="DC125" s="42">
        <f t="shared" si="133"/>
        <v>816305806</v>
      </c>
      <c r="DD125" s="42">
        <f t="shared" si="134"/>
        <v>0</v>
      </c>
      <c r="DE125" s="42">
        <f t="shared" si="134"/>
        <v>0</v>
      </c>
      <c r="DF125" s="42">
        <f t="shared" si="134"/>
        <v>0</v>
      </c>
      <c r="DG125" s="42">
        <f t="shared" si="135"/>
        <v>0</v>
      </c>
      <c r="DH125" s="42">
        <f t="shared" si="135"/>
        <v>0</v>
      </c>
      <c r="DI125" s="42">
        <f t="shared" si="135"/>
        <v>0</v>
      </c>
      <c r="DJ125" s="42">
        <f t="shared" si="135"/>
        <v>0</v>
      </c>
      <c r="DK125" s="42">
        <f t="shared" si="135"/>
        <v>314656333</v>
      </c>
      <c r="DL125" s="42">
        <f t="shared" si="135"/>
        <v>239000000</v>
      </c>
      <c r="DM125" s="42">
        <f t="shared" si="135"/>
        <v>115000000</v>
      </c>
      <c r="DN125" s="42">
        <f t="shared" si="135"/>
        <v>0</v>
      </c>
      <c r="DO125" s="42">
        <f t="shared" si="135"/>
        <v>0</v>
      </c>
      <c r="DP125" s="42">
        <f t="shared" si="135"/>
        <v>45000000</v>
      </c>
      <c r="DQ125" s="42">
        <f t="shared" si="135"/>
        <v>30905320</v>
      </c>
      <c r="DR125" s="42">
        <f t="shared" si="135"/>
        <v>0</v>
      </c>
      <c r="DS125" s="42">
        <f t="shared" si="135"/>
        <v>0</v>
      </c>
      <c r="DT125" s="42">
        <f t="shared" si="135"/>
        <v>0</v>
      </c>
      <c r="DU125" s="42">
        <f t="shared" si="135"/>
        <v>0</v>
      </c>
      <c r="DV125" s="42">
        <f t="shared" si="135"/>
        <v>0</v>
      </c>
      <c r="DW125" s="42">
        <f t="shared" si="136"/>
        <v>0</v>
      </c>
      <c r="DX125" s="42">
        <f t="shared" si="136"/>
        <v>0</v>
      </c>
      <c r="DY125" s="42">
        <f>AC125-CZ125</f>
        <v>14405130</v>
      </c>
      <c r="DZ125" s="42">
        <f t="shared" si="137"/>
        <v>57339023</v>
      </c>
      <c r="EB125" s="47">
        <f t="shared" si="62"/>
        <v>1254826690</v>
      </c>
      <c r="EC125" s="47">
        <f t="shared" si="63"/>
        <v>1254826690</v>
      </c>
      <c r="ED125" s="47">
        <f t="shared" si="64"/>
        <v>1254826690</v>
      </c>
    </row>
    <row r="126" spans="1:136" ht="35.4" customHeight="1" x14ac:dyDescent="0.3">
      <c r="A126" s="82"/>
      <c r="B126" s="148"/>
      <c r="C126" s="78" t="s">
        <v>357</v>
      </c>
      <c r="D126" s="118" t="s">
        <v>358</v>
      </c>
      <c r="E126" s="142">
        <v>211</v>
      </c>
      <c r="F126" s="41" t="s">
        <v>359</v>
      </c>
      <c r="G126" s="42">
        <f t="shared" si="124"/>
        <v>3236110161</v>
      </c>
      <c r="H126" s="42"/>
      <c r="I126" s="42"/>
      <c r="J126" s="42"/>
      <c r="K126" s="42"/>
      <c r="L126" s="42"/>
      <c r="M126" s="42"/>
      <c r="N126" s="42"/>
      <c r="O126" s="42">
        <f>319000000+200000000+104225677</f>
        <v>623225677</v>
      </c>
      <c r="P126" s="42">
        <f>200630318+220000000</f>
        <v>420630318</v>
      </c>
      <c r="Q126" s="42">
        <f>93000000+341800300</f>
        <v>434800300</v>
      </c>
      <c r="R126" s="42">
        <f>47000000+75000000+8786495</f>
        <v>130786495</v>
      </c>
      <c r="S126" s="42"/>
      <c r="T126" s="42">
        <v>5000000</v>
      </c>
      <c r="U126" s="42"/>
      <c r="V126" s="42">
        <f>20000000+45200000+106930178</f>
        <v>172130178</v>
      </c>
      <c r="W126" s="42">
        <v>50000000</v>
      </c>
      <c r="X126" s="42"/>
      <c r="Y126" s="42">
        <v>750000000</v>
      </c>
      <c r="Z126" s="42"/>
      <c r="AA126" s="42"/>
      <c r="AB126" s="42"/>
      <c r="AC126" s="42">
        <f>149490840+13172000+18000000</f>
        <v>180662840</v>
      </c>
      <c r="AD126" s="42">
        <f>194000000+50000000+2500000+114010258+74102759+4261336+20000000+10000000</f>
        <v>468874353</v>
      </c>
      <c r="AE126" s="43">
        <f t="shared" si="86"/>
        <v>0.95133756325794006</v>
      </c>
      <c r="AF126" s="42">
        <f t="shared" si="125"/>
        <v>3078633155</v>
      </c>
      <c r="AG126" s="42"/>
      <c r="AH126" s="42"/>
      <c r="AI126" s="42"/>
      <c r="AJ126" s="42"/>
      <c r="AK126" s="42"/>
      <c r="AL126" s="42"/>
      <c r="AM126" s="42"/>
      <c r="AN126" s="42">
        <f>+'[1]OCTUBRE 2019'!$Q$187</f>
        <v>622482913</v>
      </c>
      <c r="AO126" s="42">
        <f>+'[3]NOVIEMBRE 2019'!$R$212</f>
        <v>387193274</v>
      </c>
      <c r="AP126" s="42">
        <f>+'[3]NOVIEMBRE 2019'!$S$212</f>
        <v>434633793</v>
      </c>
      <c r="AQ126" s="42">
        <f>+'[3]NOVIEMBRE 2019'!$T$212</f>
        <v>75512729</v>
      </c>
      <c r="AR126" s="42"/>
      <c r="AS126" s="42"/>
      <c r="AT126" s="42"/>
      <c r="AU126" s="42">
        <f>+'[1]OCTUBRE 2019'!$X$187</f>
        <v>172130178</v>
      </c>
      <c r="AV126" s="42">
        <f>+'[11]ABRIL 2019'!$X$73</f>
        <v>50000000</v>
      </c>
      <c r="AW126" s="42"/>
      <c r="AX126" s="42">
        <f>+'[2]SEPTIEMBRE 2019'!$AA$158</f>
        <v>744901055</v>
      </c>
      <c r="AY126" s="42"/>
      <c r="AZ126" s="42"/>
      <c r="BA126" s="42"/>
      <c r="BB126" s="42">
        <f>+'[8]AGOSTO 2019'!$AE$137</f>
        <v>123006604</v>
      </c>
      <c r="BC126" s="42">
        <f>+'[3]NOVIEMBRE 2019'!$AG$212</f>
        <v>468772609</v>
      </c>
      <c r="BD126" s="43">
        <f t="shared" si="59"/>
        <v>4.8662436742059945E-2</v>
      </c>
      <c r="BE126" s="42">
        <f t="shared" si="126"/>
        <v>157477006</v>
      </c>
      <c r="BF126" s="42">
        <f t="shared" si="127"/>
        <v>0</v>
      </c>
      <c r="BG126" s="42">
        <f t="shared" si="127"/>
        <v>0</v>
      </c>
      <c r="BH126" s="42">
        <f t="shared" si="127"/>
        <v>0</v>
      </c>
      <c r="BI126" s="42">
        <f t="shared" si="128"/>
        <v>0</v>
      </c>
      <c r="BJ126" s="42">
        <f t="shared" si="129"/>
        <v>0</v>
      </c>
      <c r="BK126" s="42">
        <f t="shared" si="129"/>
        <v>0</v>
      </c>
      <c r="BL126" s="42">
        <f t="shared" si="129"/>
        <v>0</v>
      </c>
      <c r="BM126" s="42">
        <f t="shared" si="129"/>
        <v>742764</v>
      </c>
      <c r="BN126" s="42">
        <f t="shared" si="129"/>
        <v>33437044</v>
      </c>
      <c r="BO126" s="42">
        <f t="shared" si="129"/>
        <v>166507</v>
      </c>
      <c r="BP126" s="42">
        <f t="shared" si="129"/>
        <v>55273766</v>
      </c>
      <c r="BQ126" s="42">
        <f t="shared" si="129"/>
        <v>0</v>
      </c>
      <c r="BR126" s="42">
        <f t="shared" si="129"/>
        <v>5000000</v>
      </c>
      <c r="BS126" s="42">
        <f t="shared" si="129"/>
        <v>0</v>
      </c>
      <c r="BT126" s="42">
        <f t="shared" si="129"/>
        <v>0</v>
      </c>
      <c r="BU126" s="42">
        <f t="shared" si="129"/>
        <v>0</v>
      </c>
      <c r="BV126" s="42">
        <f t="shared" si="129"/>
        <v>0</v>
      </c>
      <c r="BW126" s="42">
        <f t="shared" si="129"/>
        <v>5098945</v>
      </c>
      <c r="BX126" s="42">
        <f t="shared" si="129"/>
        <v>0</v>
      </c>
      <c r="BY126" s="42">
        <f t="shared" si="129"/>
        <v>0</v>
      </c>
      <c r="BZ126" s="42">
        <f t="shared" si="130"/>
        <v>0</v>
      </c>
      <c r="CA126" s="42">
        <f>AC126-BB126</f>
        <v>57656236</v>
      </c>
      <c r="CB126" s="42">
        <f t="shared" si="131"/>
        <v>101744</v>
      </c>
      <c r="CC126" s="43">
        <f t="shared" si="114"/>
        <v>0.90884688458539775</v>
      </c>
      <c r="CD126" s="42">
        <f t="shared" si="132"/>
        <v>2941128638</v>
      </c>
      <c r="CE126" s="42"/>
      <c r="CF126" s="42"/>
      <c r="CG126" s="42"/>
      <c r="CH126" s="42"/>
      <c r="CI126" s="42"/>
      <c r="CJ126" s="42"/>
      <c r="CK126" s="42"/>
      <c r="CL126" s="42">
        <f>+'[2]SEPTIEMBRE 2019'!$H$187+'[2]SEPTIEMBRE 2019'!$H$210+'[2]SEPTIEMBRE 2019'!$H$231</f>
        <v>622482913</v>
      </c>
      <c r="CM126" s="42">
        <f>+'[3]NOVIEMBRE 2019'!$H$222+'[3]NOVIEMBRE 2019'!$H$277+'[3]NOVIEMBRE 2019'!$H$280+'[3]NOVIEMBRE 2019'!$H$286+'[3]NOVIEMBRE 2019'!$H$309</f>
        <v>387193274</v>
      </c>
      <c r="CN126" s="42">
        <f>+'[3]NOVIEMBRE 2019'!$H$220+'[3]NOVIEMBRE 2019'!$H$283+'[3]NOVIEMBRE 2019'!$H$300+'[3]NOVIEMBRE 2019'!$H$312+'[3]NOVIEMBRE 2019'!$H$315</f>
        <v>434633793</v>
      </c>
      <c r="CO126" s="42">
        <f>+'[3]NOVIEMBRE 2019'!$H$224+'[3]NOVIEMBRE 2019'!$H$255+'[3]NOVIEMBRE 2019'!$H$306+'[3]NOVIEMBRE 2019'!$H$318</f>
        <v>75512729</v>
      </c>
      <c r="CP126" s="42"/>
      <c r="CQ126" s="42"/>
      <c r="CR126" s="42"/>
      <c r="CS126" s="42">
        <f>+'[3]NOVIEMBRE 2019'!$H$257+'[3]NOVIEMBRE 2019'!$H$303</f>
        <v>172130178</v>
      </c>
      <c r="CT126" s="42">
        <f>+'[3]NOVIEMBRE 2019'!$H$236</f>
        <v>29024945</v>
      </c>
      <c r="CU126" s="42"/>
      <c r="CV126" s="42">
        <f>+'[2]SEPTIEMBRE 2019'!$H$170+'[2]SEPTIEMBRE 2019'!$H$174+'[2]SEPTIEMBRE 2019'!$H$228</f>
        <v>744901055</v>
      </c>
      <c r="CW126" s="42"/>
      <c r="CX126" s="42"/>
      <c r="CY126" s="42"/>
      <c r="CZ126" s="42">
        <f>+'[3]NOVIEMBRE 2019'!$H$251+'[3]NOVIEMBRE 2019'!$H$261+'[3]NOVIEMBRE 2019'!$H$264+'[3]NOVIEMBRE 2019'!$H$274</f>
        <v>98343631</v>
      </c>
      <c r="DA126" s="42">
        <f>+'[3]NOVIEMBRE 2019'!$H$213+'[3]NOVIEMBRE 2019'!$H$217+'[3]NOVIEMBRE 2019'!$H$232+'[3]NOVIEMBRE 2019'!$H$242+'[3]NOVIEMBRE 2019'!$H$267+'[3]NOVIEMBRE 2019'!$H$294+'[3]NOVIEMBRE 2019'!$H$321+'[3]NOVIEMBRE 2019'!$H$324</f>
        <v>376906120</v>
      </c>
      <c r="DB126" s="43">
        <f t="shared" si="61"/>
        <v>9.1153115414602248E-2</v>
      </c>
      <c r="DC126" s="42">
        <f t="shared" si="133"/>
        <v>294981523</v>
      </c>
      <c r="DD126" s="42">
        <f t="shared" si="134"/>
        <v>0</v>
      </c>
      <c r="DE126" s="42">
        <f t="shared" si="134"/>
        <v>0</v>
      </c>
      <c r="DF126" s="42">
        <f t="shared" si="134"/>
        <v>0</v>
      </c>
      <c r="DG126" s="42">
        <f t="shared" si="135"/>
        <v>0</v>
      </c>
      <c r="DH126" s="42">
        <f t="shared" si="135"/>
        <v>0</v>
      </c>
      <c r="DI126" s="42">
        <f t="shared" si="135"/>
        <v>0</v>
      </c>
      <c r="DJ126" s="42">
        <f t="shared" si="135"/>
        <v>0</v>
      </c>
      <c r="DK126" s="42">
        <f t="shared" si="135"/>
        <v>742764</v>
      </c>
      <c r="DL126" s="42">
        <f t="shared" si="135"/>
        <v>33437044</v>
      </c>
      <c r="DM126" s="42">
        <f t="shared" si="135"/>
        <v>166507</v>
      </c>
      <c r="DN126" s="42">
        <f t="shared" si="135"/>
        <v>55273766</v>
      </c>
      <c r="DO126" s="42">
        <f t="shared" si="135"/>
        <v>0</v>
      </c>
      <c r="DP126" s="42">
        <f t="shared" si="135"/>
        <v>5000000</v>
      </c>
      <c r="DQ126" s="42">
        <f t="shared" si="135"/>
        <v>0</v>
      </c>
      <c r="DR126" s="42">
        <f t="shared" si="135"/>
        <v>0</v>
      </c>
      <c r="DS126" s="42">
        <f t="shared" si="135"/>
        <v>20975055</v>
      </c>
      <c r="DT126" s="42">
        <f t="shared" si="135"/>
        <v>0</v>
      </c>
      <c r="DU126" s="42">
        <f t="shared" si="135"/>
        <v>5098945</v>
      </c>
      <c r="DV126" s="42">
        <f t="shared" si="135"/>
        <v>0</v>
      </c>
      <c r="DW126" s="42">
        <f t="shared" si="136"/>
        <v>0</v>
      </c>
      <c r="DX126" s="42">
        <f t="shared" si="136"/>
        <v>0</v>
      </c>
      <c r="DY126" s="42">
        <f>AC126-CZ126</f>
        <v>82319209</v>
      </c>
      <c r="DZ126" s="42">
        <f t="shared" si="137"/>
        <v>91968233</v>
      </c>
      <c r="EB126" s="47">
        <f t="shared" si="62"/>
        <v>3236110161</v>
      </c>
      <c r="EC126" s="47">
        <f t="shared" si="63"/>
        <v>3236110161</v>
      </c>
      <c r="ED126" s="47">
        <f t="shared" si="64"/>
        <v>3236110161</v>
      </c>
      <c r="EF126" s="47"/>
    </row>
    <row r="127" spans="1:136" s="117" customFormat="1" ht="39.6" customHeight="1" x14ac:dyDescent="0.3">
      <c r="A127" s="82"/>
      <c r="B127" s="148"/>
      <c r="C127" s="144" t="s">
        <v>360</v>
      </c>
      <c r="D127" s="50" t="s">
        <v>361</v>
      </c>
      <c r="E127" s="145">
        <v>211</v>
      </c>
      <c r="F127" s="41" t="s">
        <v>362</v>
      </c>
      <c r="G127" s="42">
        <f t="shared" si="124"/>
        <v>272255443</v>
      </c>
      <c r="H127" s="58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>
        <v>240806613</v>
      </c>
      <c r="Y127" s="42"/>
      <c r="Z127" s="42"/>
      <c r="AA127" s="42"/>
      <c r="AB127" s="42"/>
      <c r="AC127" s="42"/>
      <c r="AD127" s="42">
        <f>77448830-4000000-9000000-33000000</f>
        <v>31448830</v>
      </c>
      <c r="AE127" s="115">
        <f t="shared" si="86"/>
        <v>0.9634444149570226</v>
      </c>
      <c r="AF127" s="42">
        <f t="shared" si="125"/>
        <v>262302986</v>
      </c>
      <c r="AG127" s="116"/>
      <c r="AH127" s="116"/>
      <c r="AI127" s="116"/>
      <c r="AJ127" s="116"/>
      <c r="AK127" s="116"/>
      <c r="AL127" s="116"/>
      <c r="AM127" s="116"/>
      <c r="AN127" s="116"/>
      <c r="AO127" s="116"/>
      <c r="AP127" s="116"/>
      <c r="AQ127" s="116"/>
      <c r="AR127" s="116"/>
      <c r="AS127" s="116"/>
      <c r="AT127" s="116"/>
      <c r="AU127" s="116"/>
      <c r="AV127" s="116"/>
      <c r="AW127" s="116">
        <f>+'[3]NOVIEMBRE 2019'!$Z$336</f>
        <v>234395156</v>
      </c>
      <c r="AX127" s="116"/>
      <c r="AY127" s="116"/>
      <c r="AZ127" s="116"/>
      <c r="BA127" s="116"/>
      <c r="BB127" s="116"/>
      <c r="BC127" s="116">
        <f>+'[3]NOVIEMBRE 2019'!$AG$336</f>
        <v>27907830</v>
      </c>
      <c r="BD127" s="115">
        <f t="shared" si="59"/>
        <v>3.6555585042977401E-2</v>
      </c>
      <c r="BE127" s="42">
        <f t="shared" si="126"/>
        <v>9952457</v>
      </c>
      <c r="BF127" s="42">
        <f t="shared" si="127"/>
        <v>0</v>
      </c>
      <c r="BG127" s="42">
        <f t="shared" si="127"/>
        <v>0</v>
      </c>
      <c r="BH127" s="42">
        <f t="shared" si="127"/>
        <v>0</v>
      </c>
      <c r="BI127" s="42">
        <f t="shared" si="128"/>
        <v>0</v>
      </c>
      <c r="BJ127" s="42">
        <f t="shared" si="129"/>
        <v>0</v>
      </c>
      <c r="BK127" s="42">
        <f t="shared" si="129"/>
        <v>0</v>
      </c>
      <c r="BL127" s="42">
        <f t="shared" si="129"/>
        <v>0</v>
      </c>
      <c r="BM127" s="42">
        <f t="shared" si="129"/>
        <v>0</v>
      </c>
      <c r="BN127" s="42">
        <f t="shared" si="129"/>
        <v>0</v>
      </c>
      <c r="BO127" s="42">
        <f t="shared" si="129"/>
        <v>0</v>
      </c>
      <c r="BP127" s="42">
        <f t="shared" si="129"/>
        <v>0</v>
      </c>
      <c r="BQ127" s="42">
        <f t="shared" si="129"/>
        <v>0</v>
      </c>
      <c r="BR127" s="42">
        <f t="shared" si="129"/>
        <v>0</v>
      </c>
      <c r="BS127" s="42">
        <f t="shared" si="129"/>
        <v>0</v>
      </c>
      <c r="BT127" s="42">
        <f t="shared" si="129"/>
        <v>0</v>
      </c>
      <c r="BU127" s="42">
        <f t="shared" si="129"/>
        <v>0</v>
      </c>
      <c r="BV127" s="42">
        <f t="shared" si="129"/>
        <v>6411457</v>
      </c>
      <c r="BW127" s="42">
        <f t="shared" si="129"/>
        <v>0</v>
      </c>
      <c r="BX127" s="42">
        <f t="shared" si="129"/>
        <v>0</v>
      </c>
      <c r="BY127" s="42">
        <f t="shared" si="129"/>
        <v>0</v>
      </c>
      <c r="BZ127" s="42">
        <f t="shared" si="130"/>
        <v>0</v>
      </c>
      <c r="CA127" s="42"/>
      <c r="CB127" s="42">
        <f t="shared" si="131"/>
        <v>3541000</v>
      </c>
      <c r="CC127" s="115">
        <f t="shared" si="114"/>
        <v>0.9511951098072261</v>
      </c>
      <c r="CD127" s="42">
        <f t="shared" si="132"/>
        <v>258968046</v>
      </c>
      <c r="CE127" s="116"/>
      <c r="CF127" s="116"/>
      <c r="CG127" s="116"/>
      <c r="CH127" s="116"/>
      <c r="CI127" s="116"/>
      <c r="CJ127" s="116"/>
      <c r="CK127" s="116"/>
      <c r="CL127" s="116"/>
      <c r="CM127" s="116"/>
      <c r="CN127" s="116"/>
      <c r="CO127" s="116"/>
      <c r="CP127" s="116"/>
      <c r="CQ127" s="116"/>
      <c r="CR127" s="116"/>
      <c r="CS127" s="116"/>
      <c r="CT127" s="116"/>
      <c r="CU127" s="116">
        <f>+'[3]NOVIEMBRE 2019'!$H$338+'[3]NOVIEMBRE 2019'!$H$340+'[3]NOVIEMBRE 2019'!$H$343+'[3]NOVIEMBRE 2019'!$H$346+'[3]NOVIEMBRE 2019'!$H$349+'[3]NOVIEMBRE 2019'!$H$352+'[3]NOVIEMBRE 2019'!$H$355+'[3]NOVIEMBRE 2019'!$H$359+'[3]NOVIEMBRE 2019'!$H$361+'[3]NOVIEMBRE 2019'!$H$364+'[3]NOVIEMBRE 2019'!$H$368+'[3]NOVIEMBRE 2019'!$H$370+'[3]NOVIEMBRE 2019'!$H$373+'[3]NOVIEMBRE 2019'!$H$391</f>
        <v>233293216</v>
      </c>
      <c r="CV127" s="116"/>
      <c r="CW127" s="116"/>
      <c r="CX127" s="116"/>
      <c r="CY127" s="116"/>
      <c r="CZ127" s="116"/>
      <c r="DA127" s="116">
        <f>+'[3]NOVIEMBRE 2019'!$H$376+'[3]NOVIEMBRE 2019'!$H$381+'[3]NOVIEMBRE 2019'!$H$384+'[3]NOVIEMBRE 2019'!$H$387</f>
        <v>25674830</v>
      </c>
      <c r="DB127" s="115">
        <f t="shared" si="61"/>
        <v>4.8804890192773898E-2</v>
      </c>
      <c r="DC127" s="42">
        <f t="shared" si="133"/>
        <v>13287397</v>
      </c>
      <c r="DD127" s="42">
        <f t="shared" si="134"/>
        <v>0</v>
      </c>
      <c r="DE127" s="42">
        <f t="shared" si="134"/>
        <v>0</v>
      </c>
      <c r="DF127" s="42">
        <f t="shared" si="134"/>
        <v>0</v>
      </c>
      <c r="DG127" s="42">
        <f t="shared" si="135"/>
        <v>0</v>
      </c>
      <c r="DH127" s="42">
        <f t="shared" si="135"/>
        <v>0</v>
      </c>
      <c r="DI127" s="42">
        <f t="shared" si="135"/>
        <v>0</v>
      </c>
      <c r="DJ127" s="42">
        <f t="shared" si="135"/>
        <v>0</v>
      </c>
      <c r="DK127" s="42">
        <f t="shared" si="135"/>
        <v>0</v>
      </c>
      <c r="DL127" s="42">
        <f t="shared" si="135"/>
        <v>0</v>
      </c>
      <c r="DM127" s="42">
        <f t="shared" si="135"/>
        <v>0</v>
      </c>
      <c r="DN127" s="42">
        <f t="shared" si="135"/>
        <v>0</v>
      </c>
      <c r="DO127" s="42">
        <f t="shared" si="135"/>
        <v>0</v>
      </c>
      <c r="DP127" s="42">
        <f t="shared" si="135"/>
        <v>0</v>
      </c>
      <c r="DQ127" s="42">
        <f t="shared" si="135"/>
        <v>0</v>
      </c>
      <c r="DR127" s="42">
        <f t="shared" si="135"/>
        <v>0</v>
      </c>
      <c r="DS127" s="42">
        <f t="shared" si="135"/>
        <v>0</v>
      </c>
      <c r="DT127" s="42">
        <f t="shared" si="135"/>
        <v>7513397</v>
      </c>
      <c r="DU127" s="42">
        <f t="shared" si="135"/>
        <v>0</v>
      </c>
      <c r="DV127" s="42">
        <f t="shared" si="135"/>
        <v>0</v>
      </c>
      <c r="DW127" s="42">
        <f t="shared" si="136"/>
        <v>0</v>
      </c>
      <c r="DX127" s="42">
        <f t="shared" si="136"/>
        <v>0</v>
      </c>
      <c r="DY127" s="42"/>
      <c r="DZ127" s="42">
        <f t="shared" si="137"/>
        <v>5774000</v>
      </c>
      <c r="EB127" s="47">
        <f t="shared" si="62"/>
        <v>272255443</v>
      </c>
      <c r="EC127" s="47">
        <f t="shared" si="63"/>
        <v>272255443</v>
      </c>
      <c r="ED127" s="47">
        <f t="shared" si="64"/>
        <v>272255443</v>
      </c>
      <c r="EF127" s="47"/>
    </row>
    <row r="128" spans="1:136" ht="24" customHeight="1" x14ac:dyDescent="0.3">
      <c r="A128" s="82"/>
      <c r="B128" s="148"/>
      <c r="C128" s="78" t="s">
        <v>363</v>
      </c>
      <c r="D128" s="39" t="s">
        <v>364</v>
      </c>
      <c r="E128" s="142">
        <v>211</v>
      </c>
      <c r="F128" s="41" t="s">
        <v>365</v>
      </c>
      <c r="G128" s="42">
        <f t="shared" si="124"/>
        <v>377500000</v>
      </c>
      <c r="H128" s="58"/>
      <c r="I128" s="42"/>
      <c r="J128" s="42"/>
      <c r="K128" s="42"/>
      <c r="L128" s="42"/>
      <c r="M128" s="42"/>
      <c r="N128" s="42"/>
      <c r="O128" s="42">
        <v>343000000</v>
      </c>
      <c r="P128" s="42"/>
      <c r="Q128" s="42"/>
      <c r="R128" s="42"/>
      <c r="S128" s="42"/>
      <c r="T128" s="42"/>
      <c r="U128" s="42">
        <f>25000000+5000000</f>
        <v>30000000</v>
      </c>
      <c r="V128" s="42"/>
      <c r="W128" s="42"/>
      <c r="X128" s="42"/>
      <c r="Y128" s="42"/>
      <c r="Z128" s="42"/>
      <c r="AA128" s="42"/>
      <c r="AB128" s="42"/>
      <c r="AC128" s="42"/>
      <c r="AD128" s="42">
        <f>4500000</f>
        <v>4500000</v>
      </c>
      <c r="AE128" s="43">
        <f t="shared" si="86"/>
        <v>0.81706784900662255</v>
      </c>
      <c r="AF128" s="42">
        <f t="shared" si="125"/>
        <v>308443113</v>
      </c>
      <c r="AG128" s="42"/>
      <c r="AH128" s="42"/>
      <c r="AI128" s="42"/>
      <c r="AJ128" s="42"/>
      <c r="AK128" s="42"/>
      <c r="AL128" s="42"/>
      <c r="AM128" s="42"/>
      <c r="AN128" s="42">
        <f>+'[3]NOVIEMBRE 2019'!$H$404+'[3]NOVIEMBRE 2019'!$H$406+'[3]NOVIEMBRE 2019'!$H$408+'[3]NOVIEMBRE 2019'!$H$411+'[3]NOVIEMBRE 2019'!$H$416+'[3]NOVIEMBRE 2019'!$H$419+'[3]NOVIEMBRE 2019'!$H$422</f>
        <v>275097297</v>
      </c>
      <c r="AO128" s="42"/>
      <c r="AP128" s="42"/>
      <c r="AQ128" s="42"/>
      <c r="AR128" s="42"/>
      <c r="AS128" s="42"/>
      <c r="AT128" s="42">
        <f>+'[3]NOVIEMBRE 2019'!$W$401</f>
        <v>28845816</v>
      </c>
      <c r="AU128" s="42"/>
      <c r="AV128" s="42"/>
      <c r="AW128" s="42"/>
      <c r="AX128" s="42"/>
      <c r="AY128" s="42"/>
      <c r="AZ128" s="42"/>
      <c r="BA128" s="42"/>
      <c r="BB128" s="42"/>
      <c r="BC128" s="116">
        <f>+'[7]MAYO 2019'!$AF$125</f>
        <v>4500000</v>
      </c>
      <c r="BD128" s="43">
        <f t="shared" si="59"/>
        <v>0.18293215099337745</v>
      </c>
      <c r="BE128" s="42">
        <f t="shared" si="126"/>
        <v>69056887</v>
      </c>
      <c r="BF128" s="42">
        <f t="shared" si="127"/>
        <v>0</v>
      </c>
      <c r="BG128" s="42">
        <f t="shared" si="127"/>
        <v>0</v>
      </c>
      <c r="BH128" s="42">
        <f t="shared" si="127"/>
        <v>0</v>
      </c>
      <c r="BI128" s="42">
        <f t="shared" si="128"/>
        <v>0</v>
      </c>
      <c r="BJ128" s="42">
        <f t="shared" si="129"/>
        <v>0</v>
      </c>
      <c r="BK128" s="42">
        <f t="shared" si="129"/>
        <v>0</v>
      </c>
      <c r="BL128" s="42">
        <f t="shared" si="129"/>
        <v>0</v>
      </c>
      <c r="BM128" s="42">
        <f t="shared" si="129"/>
        <v>67902703</v>
      </c>
      <c r="BN128" s="42">
        <f t="shared" si="129"/>
        <v>0</v>
      </c>
      <c r="BO128" s="42">
        <f t="shared" si="129"/>
        <v>0</v>
      </c>
      <c r="BP128" s="42">
        <f t="shared" si="129"/>
        <v>0</v>
      </c>
      <c r="BQ128" s="42">
        <f t="shared" si="129"/>
        <v>0</v>
      </c>
      <c r="BR128" s="42">
        <f t="shared" si="129"/>
        <v>0</v>
      </c>
      <c r="BS128" s="42">
        <f t="shared" si="129"/>
        <v>1154184</v>
      </c>
      <c r="BT128" s="42">
        <f t="shared" si="129"/>
        <v>0</v>
      </c>
      <c r="BU128" s="42">
        <f t="shared" si="129"/>
        <v>0</v>
      </c>
      <c r="BV128" s="42">
        <f t="shared" si="129"/>
        <v>0</v>
      </c>
      <c r="BW128" s="42">
        <f t="shared" si="129"/>
        <v>0</v>
      </c>
      <c r="BX128" s="42">
        <f t="shared" si="129"/>
        <v>0</v>
      </c>
      <c r="BY128" s="42">
        <f t="shared" si="129"/>
        <v>0</v>
      </c>
      <c r="BZ128" s="42">
        <f t="shared" si="130"/>
        <v>0</v>
      </c>
      <c r="CA128" s="42"/>
      <c r="CB128" s="42">
        <f t="shared" si="131"/>
        <v>0</v>
      </c>
      <c r="CC128" s="43">
        <f t="shared" si="114"/>
        <v>0.72947628344370863</v>
      </c>
      <c r="CD128" s="42">
        <f t="shared" si="132"/>
        <v>275377297</v>
      </c>
      <c r="CE128" s="42"/>
      <c r="CF128" s="42"/>
      <c r="CG128" s="42"/>
      <c r="CH128" s="42"/>
      <c r="CI128" s="42"/>
      <c r="CJ128" s="42"/>
      <c r="CK128" s="42"/>
      <c r="CL128" s="42">
        <f>+'[3]NOVIEMBRE 2019'!$H$404+'[3]NOVIEMBRE 2019'!$H$406+'[3]NOVIEMBRE 2019'!$H$408+'[3]NOVIEMBRE 2019'!$H$411+'[3]NOVIEMBRE 2019'!$H$416+'[3]NOVIEMBRE 2019'!$H$419+'[3]NOVIEMBRE 2019'!$H$422</f>
        <v>275097297</v>
      </c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>
        <f>+'[7]MAYO 2019'!$H$126</f>
        <v>280000</v>
      </c>
      <c r="DB128" s="43">
        <f t="shared" si="61"/>
        <v>0.27052371655629137</v>
      </c>
      <c r="DC128" s="42">
        <f t="shared" si="133"/>
        <v>102122703</v>
      </c>
      <c r="DD128" s="42">
        <f t="shared" si="134"/>
        <v>0</v>
      </c>
      <c r="DE128" s="42">
        <f t="shared" si="134"/>
        <v>0</v>
      </c>
      <c r="DF128" s="42">
        <f t="shared" si="134"/>
        <v>0</v>
      </c>
      <c r="DG128" s="42">
        <f t="shared" si="135"/>
        <v>0</v>
      </c>
      <c r="DH128" s="42">
        <f t="shared" si="135"/>
        <v>0</v>
      </c>
      <c r="DI128" s="42">
        <f t="shared" si="135"/>
        <v>0</v>
      </c>
      <c r="DJ128" s="42">
        <f t="shared" si="135"/>
        <v>0</v>
      </c>
      <c r="DK128" s="42">
        <f t="shared" si="135"/>
        <v>67902703</v>
      </c>
      <c r="DL128" s="42">
        <f t="shared" si="135"/>
        <v>0</v>
      </c>
      <c r="DM128" s="42">
        <f t="shared" si="135"/>
        <v>0</v>
      </c>
      <c r="DN128" s="42">
        <f t="shared" si="135"/>
        <v>0</v>
      </c>
      <c r="DO128" s="42">
        <f t="shared" si="135"/>
        <v>0</v>
      </c>
      <c r="DP128" s="42">
        <f t="shared" si="135"/>
        <v>0</v>
      </c>
      <c r="DQ128" s="42">
        <f t="shared" si="135"/>
        <v>30000000</v>
      </c>
      <c r="DR128" s="42">
        <f t="shared" si="135"/>
        <v>0</v>
      </c>
      <c r="DS128" s="42">
        <f t="shared" si="135"/>
        <v>0</v>
      </c>
      <c r="DT128" s="42">
        <f t="shared" si="135"/>
        <v>0</v>
      </c>
      <c r="DU128" s="42">
        <f t="shared" si="135"/>
        <v>0</v>
      </c>
      <c r="DV128" s="42">
        <f t="shared" si="135"/>
        <v>0</v>
      </c>
      <c r="DW128" s="42">
        <f t="shared" si="136"/>
        <v>0</v>
      </c>
      <c r="DX128" s="42">
        <f t="shared" si="136"/>
        <v>0</v>
      </c>
      <c r="DY128" s="42"/>
      <c r="DZ128" s="42">
        <f t="shared" si="137"/>
        <v>4220000</v>
      </c>
      <c r="EB128" s="47">
        <f t="shared" si="62"/>
        <v>377500000</v>
      </c>
      <c r="EC128" s="47">
        <f t="shared" si="63"/>
        <v>377500000</v>
      </c>
      <c r="ED128" s="47">
        <f t="shared" si="64"/>
        <v>377500000</v>
      </c>
    </row>
    <row r="129" spans="1:136" ht="30.6" customHeight="1" x14ac:dyDescent="0.3">
      <c r="A129" s="82"/>
      <c r="B129" s="148"/>
      <c r="C129" s="78" t="s">
        <v>366</v>
      </c>
      <c r="D129" s="39" t="s">
        <v>367</v>
      </c>
      <c r="E129" s="142">
        <v>211</v>
      </c>
      <c r="F129" s="41" t="s">
        <v>302</v>
      </c>
      <c r="G129" s="42">
        <f t="shared" si="124"/>
        <v>638119041</v>
      </c>
      <c r="H129" s="58"/>
      <c r="I129" s="42">
        <v>258340125</v>
      </c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>
        <v>107000000</v>
      </c>
      <c r="Y129" s="42">
        <v>62600000</v>
      </c>
      <c r="Z129" s="42">
        <f>108178916+102000000</f>
        <v>210178916</v>
      </c>
      <c r="AA129" s="42"/>
      <c r="AB129" s="42"/>
      <c r="AC129" s="42"/>
      <c r="AD129" s="42"/>
      <c r="AE129" s="43">
        <f t="shared" si="86"/>
        <v>0.99303411947552278</v>
      </c>
      <c r="AF129" s="42">
        <f t="shared" si="125"/>
        <v>633673980</v>
      </c>
      <c r="AG129" s="42"/>
      <c r="AH129" s="42">
        <f>+'[10]ENERO 2019'!$K$70</f>
        <v>258340125</v>
      </c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>
        <f>+'[3]NOVIEMBRE 2019'!$Z$428</f>
        <v>106782598</v>
      </c>
      <c r="AX129" s="42">
        <f>+'[3]NOVIEMBRE 2019'!$AA$428</f>
        <v>58374008</v>
      </c>
      <c r="AY129" s="42">
        <f>+'[3]NOVIEMBRE 2019'!$AB$428</f>
        <v>210177249</v>
      </c>
      <c r="AZ129" s="42"/>
      <c r="BA129" s="42"/>
      <c r="BB129" s="42"/>
      <c r="BC129" s="42"/>
      <c r="BD129" s="43">
        <f t="shared" si="59"/>
        <v>6.9658805244772193E-3</v>
      </c>
      <c r="BE129" s="42">
        <f t="shared" si="126"/>
        <v>4445061</v>
      </c>
      <c r="BF129" s="42">
        <f t="shared" si="127"/>
        <v>0</v>
      </c>
      <c r="BG129" s="42">
        <f t="shared" si="127"/>
        <v>0</v>
      </c>
      <c r="BH129" s="42">
        <f t="shared" si="127"/>
        <v>0</v>
      </c>
      <c r="BI129" s="42">
        <f t="shared" si="128"/>
        <v>0</v>
      </c>
      <c r="BJ129" s="42">
        <f t="shared" si="129"/>
        <v>0</v>
      </c>
      <c r="BK129" s="42">
        <f t="shared" si="129"/>
        <v>0</v>
      </c>
      <c r="BL129" s="42">
        <f t="shared" si="129"/>
        <v>0</v>
      </c>
      <c r="BM129" s="42">
        <f t="shared" si="129"/>
        <v>0</v>
      </c>
      <c r="BN129" s="42">
        <f t="shared" si="129"/>
        <v>0</v>
      </c>
      <c r="BO129" s="42">
        <f t="shared" si="129"/>
        <v>0</v>
      </c>
      <c r="BP129" s="42">
        <f t="shared" si="129"/>
        <v>0</v>
      </c>
      <c r="BQ129" s="42">
        <f t="shared" si="129"/>
        <v>0</v>
      </c>
      <c r="BR129" s="42">
        <f t="shared" si="129"/>
        <v>0</v>
      </c>
      <c r="BS129" s="42">
        <f t="shared" si="129"/>
        <v>0</v>
      </c>
      <c r="BT129" s="42">
        <f t="shared" si="129"/>
        <v>0</v>
      </c>
      <c r="BU129" s="42">
        <f t="shared" si="129"/>
        <v>0</v>
      </c>
      <c r="BV129" s="42">
        <f t="shared" si="129"/>
        <v>217402</v>
      </c>
      <c r="BW129" s="42">
        <f t="shared" si="129"/>
        <v>4225992</v>
      </c>
      <c r="BX129" s="42">
        <f t="shared" si="129"/>
        <v>1667</v>
      </c>
      <c r="BY129" s="42">
        <f t="shared" si="129"/>
        <v>0</v>
      </c>
      <c r="BZ129" s="42">
        <f t="shared" si="130"/>
        <v>0</v>
      </c>
      <c r="CA129" s="42"/>
      <c r="CB129" s="42">
        <f t="shared" si="131"/>
        <v>0</v>
      </c>
      <c r="CC129" s="43">
        <f t="shared" si="114"/>
        <v>0.99073216967365185</v>
      </c>
      <c r="CD129" s="42">
        <f t="shared" si="132"/>
        <v>632205062</v>
      </c>
      <c r="CE129" s="42"/>
      <c r="CF129" s="42">
        <f>+'[1]OCTUBRE 2019'!$H$379</f>
        <v>258340123</v>
      </c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>
        <f>+'[2]SEPTIEMBRE 2019'!$H$355+'[2]SEPTIEMBRE 2019'!$H$361+'[2]SEPTIEMBRE 2019'!$H$366+'[2]SEPTIEMBRE 2019'!$Z$370</f>
        <v>106782598</v>
      </c>
      <c r="CV129" s="42">
        <v>58374008</v>
      </c>
      <c r="CW129" s="42">
        <f>+'[3]NOVIEMBRE 2019'!$H$499+'[3]NOVIEMBRE 2019'!$H$523</f>
        <v>208708333</v>
      </c>
      <c r="CX129" s="42"/>
      <c r="CY129" s="42"/>
      <c r="CZ129" s="42"/>
      <c r="DA129" s="42"/>
      <c r="DB129" s="43">
        <f t="shared" si="61"/>
        <v>9.2678303263481476E-3</v>
      </c>
      <c r="DC129" s="42">
        <f t="shared" si="133"/>
        <v>5913979</v>
      </c>
      <c r="DD129" s="42">
        <f t="shared" si="134"/>
        <v>0</v>
      </c>
      <c r="DE129" s="42">
        <f t="shared" si="134"/>
        <v>2</v>
      </c>
      <c r="DF129" s="42">
        <f t="shared" si="134"/>
        <v>0</v>
      </c>
      <c r="DG129" s="42">
        <f t="shared" si="135"/>
        <v>0</v>
      </c>
      <c r="DH129" s="42">
        <f t="shared" si="135"/>
        <v>0</v>
      </c>
      <c r="DI129" s="42">
        <f t="shared" si="135"/>
        <v>0</v>
      </c>
      <c r="DJ129" s="42">
        <f t="shared" si="135"/>
        <v>0</v>
      </c>
      <c r="DK129" s="42">
        <f t="shared" si="135"/>
        <v>0</v>
      </c>
      <c r="DL129" s="42">
        <f t="shared" si="135"/>
        <v>0</v>
      </c>
      <c r="DM129" s="42">
        <f t="shared" si="135"/>
        <v>0</v>
      </c>
      <c r="DN129" s="42">
        <f t="shared" si="135"/>
        <v>0</v>
      </c>
      <c r="DO129" s="42">
        <f t="shared" si="135"/>
        <v>0</v>
      </c>
      <c r="DP129" s="42">
        <f t="shared" si="135"/>
        <v>0</v>
      </c>
      <c r="DQ129" s="42">
        <f t="shared" si="135"/>
        <v>0</v>
      </c>
      <c r="DR129" s="42">
        <f t="shared" si="135"/>
        <v>0</v>
      </c>
      <c r="DS129" s="42">
        <f t="shared" si="135"/>
        <v>0</v>
      </c>
      <c r="DT129" s="42">
        <f t="shared" si="135"/>
        <v>217402</v>
      </c>
      <c r="DU129" s="42">
        <f t="shared" si="135"/>
        <v>4225992</v>
      </c>
      <c r="DV129" s="42">
        <f t="shared" si="135"/>
        <v>1470583</v>
      </c>
      <c r="DW129" s="42">
        <f t="shared" si="136"/>
        <v>0</v>
      </c>
      <c r="DX129" s="42">
        <f t="shared" si="136"/>
        <v>0</v>
      </c>
      <c r="DY129" s="42"/>
      <c r="DZ129" s="42">
        <f t="shared" si="137"/>
        <v>0</v>
      </c>
      <c r="EB129" s="47">
        <f t="shared" si="62"/>
        <v>638119041</v>
      </c>
      <c r="EC129" s="47">
        <f t="shared" si="63"/>
        <v>638119041</v>
      </c>
      <c r="ED129" s="47">
        <f t="shared" si="64"/>
        <v>638119041</v>
      </c>
    </row>
    <row r="130" spans="1:136" ht="57.6" customHeight="1" x14ac:dyDescent="0.3">
      <c r="A130" s="82"/>
      <c r="B130" s="149"/>
      <c r="C130" s="78" t="s">
        <v>368</v>
      </c>
      <c r="D130" s="39" t="s">
        <v>369</v>
      </c>
      <c r="E130" s="142">
        <v>211</v>
      </c>
      <c r="F130" s="41" t="s">
        <v>302</v>
      </c>
      <c r="G130" s="42">
        <f t="shared" si="124"/>
        <v>5000000</v>
      </c>
      <c r="H130" s="58"/>
      <c r="I130" s="42">
        <v>5000000</v>
      </c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3">
        <f t="shared" si="86"/>
        <v>0</v>
      </c>
      <c r="AF130" s="42">
        <f t="shared" si="125"/>
        <v>0</v>
      </c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3">
        <f t="shared" si="59"/>
        <v>1</v>
      </c>
      <c r="BE130" s="42">
        <f t="shared" si="126"/>
        <v>5000000</v>
      </c>
      <c r="BF130" s="42">
        <f t="shared" si="127"/>
        <v>0</v>
      </c>
      <c r="BG130" s="42">
        <f t="shared" si="127"/>
        <v>5000000</v>
      </c>
      <c r="BH130" s="42">
        <f t="shared" si="127"/>
        <v>0</v>
      </c>
      <c r="BI130" s="42">
        <f t="shared" si="128"/>
        <v>0</v>
      </c>
      <c r="BJ130" s="42">
        <f t="shared" si="129"/>
        <v>0</v>
      </c>
      <c r="BK130" s="42">
        <f t="shared" si="129"/>
        <v>0</v>
      </c>
      <c r="BL130" s="42">
        <f t="shared" si="129"/>
        <v>0</v>
      </c>
      <c r="BM130" s="42">
        <f t="shared" si="129"/>
        <v>0</v>
      </c>
      <c r="BN130" s="42">
        <f t="shared" si="129"/>
        <v>0</v>
      </c>
      <c r="BO130" s="42">
        <f t="shared" si="129"/>
        <v>0</v>
      </c>
      <c r="BP130" s="42">
        <f t="shared" si="129"/>
        <v>0</v>
      </c>
      <c r="BQ130" s="42">
        <f t="shared" si="129"/>
        <v>0</v>
      </c>
      <c r="BR130" s="42">
        <f t="shared" si="129"/>
        <v>0</v>
      </c>
      <c r="BS130" s="42">
        <f t="shared" si="129"/>
        <v>0</v>
      </c>
      <c r="BT130" s="42">
        <f t="shared" si="129"/>
        <v>0</v>
      </c>
      <c r="BU130" s="42">
        <f t="shared" si="129"/>
        <v>0</v>
      </c>
      <c r="BV130" s="42">
        <f t="shared" si="129"/>
        <v>0</v>
      </c>
      <c r="BW130" s="42">
        <f t="shared" si="129"/>
        <v>0</v>
      </c>
      <c r="BX130" s="42">
        <f t="shared" si="129"/>
        <v>0</v>
      </c>
      <c r="BY130" s="42">
        <f t="shared" si="129"/>
        <v>0</v>
      </c>
      <c r="BZ130" s="42">
        <f t="shared" si="130"/>
        <v>0</v>
      </c>
      <c r="CA130" s="42"/>
      <c r="CB130" s="42">
        <f t="shared" si="131"/>
        <v>0</v>
      </c>
      <c r="CC130" s="43">
        <f t="shared" si="114"/>
        <v>0</v>
      </c>
      <c r="CD130" s="42">
        <f t="shared" si="132"/>
        <v>0</v>
      </c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3">
        <f t="shared" si="61"/>
        <v>1</v>
      </c>
      <c r="DC130" s="42">
        <f t="shared" si="133"/>
        <v>5000000</v>
      </c>
      <c r="DD130" s="42">
        <f t="shared" si="134"/>
        <v>0</v>
      </c>
      <c r="DE130" s="42">
        <f t="shared" si="134"/>
        <v>5000000</v>
      </c>
      <c r="DF130" s="42">
        <f t="shared" si="134"/>
        <v>0</v>
      </c>
      <c r="DG130" s="42">
        <f t="shared" si="135"/>
        <v>0</v>
      </c>
      <c r="DH130" s="42">
        <f t="shared" si="135"/>
        <v>0</v>
      </c>
      <c r="DI130" s="42">
        <f t="shared" si="135"/>
        <v>0</v>
      </c>
      <c r="DJ130" s="42">
        <f t="shared" si="135"/>
        <v>0</v>
      </c>
      <c r="DK130" s="42">
        <f t="shared" si="135"/>
        <v>0</v>
      </c>
      <c r="DL130" s="42">
        <f t="shared" si="135"/>
        <v>0</v>
      </c>
      <c r="DM130" s="42">
        <f t="shared" si="135"/>
        <v>0</v>
      </c>
      <c r="DN130" s="42">
        <f t="shared" si="135"/>
        <v>0</v>
      </c>
      <c r="DO130" s="42">
        <f t="shared" si="135"/>
        <v>0</v>
      </c>
      <c r="DP130" s="42">
        <f t="shared" si="135"/>
        <v>0</v>
      </c>
      <c r="DQ130" s="42">
        <f t="shared" si="135"/>
        <v>0</v>
      </c>
      <c r="DR130" s="42">
        <f t="shared" si="135"/>
        <v>0</v>
      </c>
      <c r="DS130" s="42">
        <f t="shared" si="135"/>
        <v>0</v>
      </c>
      <c r="DT130" s="42">
        <f t="shared" si="135"/>
        <v>0</v>
      </c>
      <c r="DU130" s="42">
        <f t="shared" si="135"/>
        <v>0</v>
      </c>
      <c r="DV130" s="42">
        <f t="shared" si="135"/>
        <v>0</v>
      </c>
      <c r="DW130" s="42">
        <f t="shared" si="136"/>
        <v>0</v>
      </c>
      <c r="DX130" s="42">
        <f t="shared" si="136"/>
        <v>0</v>
      </c>
      <c r="DY130" s="42"/>
      <c r="DZ130" s="42">
        <f t="shared" si="137"/>
        <v>0</v>
      </c>
      <c r="EB130" s="47">
        <f t="shared" si="62"/>
        <v>5000000</v>
      </c>
      <c r="EC130" s="47">
        <f t="shared" si="63"/>
        <v>5000000</v>
      </c>
      <c r="ED130" s="47">
        <f t="shared" si="64"/>
        <v>5000000</v>
      </c>
    </row>
    <row r="131" spans="1:136" ht="19.2" customHeight="1" x14ac:dyDescent="0.3">
      <c r="A131" s="88"/>
      <c r="B131" s="150"/>
      <c r="C131" s="78" t="s">
        <v>370</v>
      </c>
      <c r="D131" s="39" t="s">
        <v>371</v>
      </c>
      <c r="E131" s="142">
        <v>211</v>
      </c>
      <c r="F131" s="41" t="s">
        <v>302</v>
      </c>
      <c r="G131" s="42">
        <f t="shared" si="124"/>
        <v>560000000</v>
      </c>
      <c r="H131" s="58"/>
      <c r="I131" s="42"/>
      <c r="J131" s="42"/>
      <c r="K131" s="42">
        <v>560000000</v>
      </c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3">
        <f t="shared" si="86"/>
        <v>1</v>
      </c>
      <c r="AF131" s="42">
        <f t="shared" si="125"/>
        <v>560000000</v>
      </c>
      <c r="AG131" s="42"/>
      <c r="AH131" s="42"/>
      <c r="AI131" s="42"/>
      <c r="AJ131" s="42">
        <f>+'[1]OCTUBRE 2019'!$L$484</f>
        <v>560000000</v>
      </c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3">
        <f t="shared" si="59"/>
        <v>0</v>
      </c>
      <c r="BE131" s="42">
        <f t="shared" si="126"/>
        <v>0</v>
      </c>
      <c r="BF131" s="42"/>
      <c r="BG131" s="42"/>
      <c r="BH131" s="42"/>
      <c r="BI131" s="42">
        <f t="shared" si="128"/>
        <v>0</v>
      </c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3">
        <f t="shared" si="114"/>
        <v>0.94131758750000005</v>
      </c>
      <c r="CD131" s="42">
        <f t="shared" si="132"/>
        <v>527137849</v>
      </c>
      <c r="CE131" s="42"/>
      <c r="CF131" s="42"/>
      <c r="CG131" s="42"/>
      <c r="CH131" s="42">
        <f>+'[3]NOVIEMBRE 2019'!$H$555</f>
        <v>527137849</v>
      </c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3">
        <f t="shared" si="61"/>
        <v>5.8682412499999947E-2</v>
      </c>
      <c r="DC131" s="42">
        <f t="shared" si="133"/>
        <v>32862151</v>
      </c>
      <c r="DD131" s="42"/>
      <c r="DE131" s="42"/>
      <c r="DF131" s="42"/>
      <c r="DG131" s="42">
        <f t="shared" si="135"/>
        <v>32862151</v>
      </c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  <c r="DW131" s="42"/>
      <c r="DX131" s="42"/>
      <c r="DY131" s="42"/>
      <c r="DZ131" s="42"/>
      <c r="EB131" s="47">
        <f t="shared" si="62"/>
        <v>560000000</v>
      </c>
      <c r="EC131" s="47">
        <f t="shared" si="63"/>
        <v>560000000</v>
      </c>
      <c r="ED131" s="47">
        <f t="shared" si="64"/>
        <v>560000000</v>
      </c>
    </row>
    <row r="132" spans="1:136" ht="23.4" customHeight="1" x14ac:dyDescent="0.3">
      <c r="A132" s="88"/>
      <c r="B132" s="150"/>
      <c r="C132" s="78" t="s">
        <v>372</v>
      </c>
      <c r="D132" s="39" t="s">
        <v>373</v>
      </c>
      <c r="E132" s="142">
        <v>211</v>
      </c>
      <c r="F132" s="41" t="s">
        <v>302</v>
      </c>
      <c r="G132" s="42">
        <f t="shared" si="124"/>
        <v>656000000</v>
      </c>
      <c r="H132" s="58"/>
      <c r="I132" s="42"/>
      <c r="J132" s="42"/>
      <c r="K132" s="42">
        <v>656000000</v>
      </c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3">
        <f t="shared" si="86"/>
        <v>1</v>
      </c>
      <c r="AF132" s="42">
        <f t="shared" si="125"/>
        <v>656000000</v>
      </c>
      <c r="AG132" s="42"/>
      <c r="AH132" s="42"/>
      <c r="AI132" s="42"/>
      <c r="AJ132" s="42">
        <f>+'[1]OCTUBRE 2019'!$L$491</f>
        <v>656000000</v>
      </c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3">
        <f t="shared" ref="BD132:BD142" si="138">1-AE132</f>
        <v>0</v>
      </c>
      <c r="BE132" s="42">
        <f t="shared" si="126"/>
        <v>0</v>
      </c>
      <c r="BF132" s="42"/>
      <c r="BG132" s="42"/>
      <c r="BH132" s="42"/>
      <c r="BI132" s="42">
        <f t="shared" si="128"/>
        <v>0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3">
        <f t="shared" si="114"/>
        <v>0.51496156554878048</v>
      </c>
      <c r="CD132" s="42">
        <f t="shared" si="132"/>
        <v>337814787</v>
      </c>
      <c r="CE132" s="42"/>
      <c r="CF132" s="42"/>
      <c r="CG132" s="42"/>
      <c r="CH132" s="42">
        <f>+'[3]NOVIEMBRE 2019'!$H$559</f>
        <v>337814787</v>
      </c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3">
        <f t="shared" ref="DB132:DB142" si="139">1-CC132</f>
        <v>0.48503843445121952</v>
      </c>
      <c r="DC132" s="42">
        <f t="shared" si="133"/>
        <v>318185213</v>
      </c>
      <c r="DD132" s="42"/>
      <c r="DE132" s="42"/>
      <c r="DF132" s="42"/>
      <c r="DG132" s="42">
        <f t="shared" si="135"/>
        <v>318185213</v>
      </c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B132" s="47">
        <f t="shared" ref="EB132:EB142" si="140">+G132</f>
        <v>656000000</v>
      </c>
      <c r="EC132" s="47">
        <f t="shared" ref="EC132:EC142" si="141">+AF132+BE132</f>
        <v>656000000</v>
      </c>
      <c r="ED132" s="47">
        <f t="shared" ref="ED132:ED142" si="142">+CD132+DC132</f>
        <v>656000000</v>
      </c>
    </row>
    <row r="133" spans="1:136" ht="27.6" customHeight="1" x14ac:dyDescent="0.3">
      <c r="A133" s="82" t="s">
        <v>342</v>
      </c>
      <c r="B133" s="104" t="s">
        <v>374</v>
      </c>
      <c r="C133" s="78" t="s">
        <v>375</v>
      </c>
      <c r="D133" s="39" t="s">
        <v>376</v>
      </c>
      <c r="E133" s="142">
        <v>510</v>
      </c>
      <c r="F133" s="41" t="s">
        <v>377</v>
      </c>
      <c r="G133" s="42">
        <f t="shared" si="124"/>
        <v>130000000</v>
      </c>
      <c r="H133" s="42"/>
      <c r="I133" s="42">
        <v>120000000</v>
      </c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>
        <v>10000000</v>
      </c>
      <c r="Z133" s="42"/>
      <c r="AA133" s="42"/>
      <c r="AB133" s="42"/>
      <c r="AC133" s="42"/>
      <c r="AD133" s="42"/>
      <c r="AE133" s="43">
        <f t="shared" si="86"/>
        <v>0.99979486923076921</v>
      </c>
      <c r="AF133" s="42">
        <f t="shared" si="125"/>
        <v>129973333</v>
      </c>
      <c r="AG133" s="42"/>
      <c r="AH133" s="42">
        <f>+'[1]OCTUBRE 2019'!$K$4018</f>
        <v>120000000</v>
      </c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>
        <f>+'[3]NOVIEMBRE 2019'!$AA$4456</f>
        <v>9973333</v>
      </c>
      <c r="AY133" s="42"/>
      <c r="AZ133" s="42"/>
      <c r="BA133" s="42"/>
      <c r="BB133" s="42"/>
      <c r="BC133" s="42"/>
      <c r="BD133" s="43">
        <f t="shared" si="138"/>
        <v>2.0513076923078799E-4</v>
      </c>
      <c r="BE133" s="42">
        <f t="shared" si="126"/>
        <v>26667</v>
      </c>
      <c r="BF133" s="42">
        <f t="shared" ref="BF133:BH141" si="143">H133-AG133</f>
        <v>0</v>
      </c>
      <c r="BG133" s="42">
        <f t="shared" si="143"/>
        <v>0</v>
      </c>
      <c r="BH133" s="42">
        <f t="shared" si="143"/>
        <v>0</v>
      </c>
      <c r="BI133" s="42">
        <f t="shared" si="128"/>
        <v>0</v>
      </c>
      <c r="BJ133" s="42">
        <f t="shared" ref="BJ133:BY141" si="144">L133-AK133</f>
        <v>0</v>
      </c>
      <c r="BK133" s="42">
        <f t="shared" si="144"/>
        <v>0</v>
      </c>
      <c r="BL133" s="42">
        <f t="shared" si="144"/>
        <v>0</v>
      </c>
      <c r="BM133" s="42">
        <f t="shared" si="144"/>
        <v>0</v>
      </c>
      <c r="BN133" s="42">
        <f t="shared" si="144"/>
        <v>0</v>
      </c>
      <c r="BO133" s="42">
        <f t="shared" si="144"/>
        <v>0</v>
      </c>
      <c r="BP133" s="42">
        <f t="shared" si="144"/>
        <v>0</v>
      </c>
      <c r="BQ133" s="42">
        <f t="shared" si="144"/>
        <v>0</v>
      </c>
      <c r="BR133" s="42">
        <f t="shared" si="144"/>
        <v>0</v>
      </c>
      <c r="BS133" s="42">
        <f t="shared" si="144"/>
        <v>0</v>
      </c>
      <c r="BT133" s="42">
        <f t="shared" si="144"/>
        <v>0</v>
      </c>
      <c r="BU133" s="42">
        <f t="shared" si="144"/>
        <v>0</v>
      </c>
      <c r="BV133" s="42">
        <f t="shared" si="144"/>
        <v>0</v>
      </c>
      <c r="BW133" s="42">
        <f t="shared" si="144"/>
        <v>26667</v>
      </c>
      <c r="BX133" s="42">
        <f t="shared" si="144"/>
        <v>0</v>
      </c>
      <c r="BY133" s="42">
        <f t="shared" si="144"/>
        <v>0</v>
      </c>
      <c r="BZ133" s="42">
        <f t="shared" ref="BZ133:BZ141" si="145">AB133-BA133</f>
        <v>0</v>
      </c>
      <c r="CA133" s="42"/>
      <c r="CB133" s="42">
        <f t="shared" ref="CB133:CB140" si="146">AD133-BC133</f>
        <v>0</v>
      </c>
      <c r="CC133" s="43">
        <f t="shared" si="114"/>
        <v>0.99979486923076921</v>
      </c>
      <c r="CD133" s="42">
        <f t="shared" si="132"/>
        <v>129973333</v>
      </c>
      <c r="CE133" s="42"/>
      <c r="CF133" s="42">
        <f>+'[2]SEPTIEMBRE 2019'!$H$3589-'[2]SEPTIEMBRE 2019'!$H$3609+'[1]OCTUBRE 2019'!$H$4037</f>
        <v>120000000</v>
      </c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>
        <f>+'[4]JULIO 2019'!$H$2745</f>
        <v>9973333</v>
      </c>
      <c r="CW133" s="42"/>
      <c r="CX133" s="42"/>
      <c r="CY133" s="42"/>
      <c r="CZ133" s="42"/>
      <c r="DA133" s="42"/>
      <c r="DB133" s="43">
        <f t="shared" si="139"/>
        <v>2.0513076923078799E-4</v>
      </c>
      <c r="DC133" s="42">
        <f t="shared" si="133"/>
        <v>26667</v>
      </c>
      <c r="DD133" s="42">
        <f t="shared" ref="DD133:DS141" si="147">H133-CE133</f>
        <v>0</v>
      </c>
      <c r="DE133" s="42">
        <f t="shared" si="147"/>
        <v>0</v>
      </c>
      <c r="DF133" s="42">
        <f t="shared" si="147"/>
        <v>0</v>
      </c>
      <c r="DG133" s="42">
        <f t="shared" si="135"/>
        <v>0</v>
      </c>
      <c r="DH133" s="42">
        <f t="shared" si="135"/>
        <v>0</v>
      </c>
      <c r="DI133" s="42">
        <f t="shared" si="135"/>
        <v>0</v>
      </c>
      <c r="DJ133" s="42">
        <f t="shared" si="135"/>
        <v>0</v>
      </c>
      <c r="DK133" s="42">
        <f t="shared" si="135"/>
        <v>0</v>
      </c>
      <c r="DL133" s="42">
        <f t="shared" si="135"/>
        <v>0</v>
      </c>
      <c r="DM133" s="42">
        <f t="shared" si="135"/>
        <v>0</v>
      </c>
      <c r="DN133" s="42">
        <f t="shared" si="135"/>
        <v>0</v>
      </c>
      <c r="DO133" s="42">
        <f t="shared" si="135"/>
        <v>0</v>
      </c>
      <c r="DP133" s="42">
        <f t="shared" si="135"/>
        <v>0</v>
      </c>
      <c r="DQ133" s="42">
        <f t="shared" si="135"/>
        <v>0</v>
      </c>
      <c r="DR133" s="42">
        <f t="shared" si="135"/>
        <v>0</v>
      </c>
      <c r="DS133" s="42">
        <f t="shared" si="135"/>
        <v>0</v>
      </c>
      <c r="DT133" s="42">
        <f t="shared" si="135"/>
        <v>0</v>
      </c>
      <c r="DU133" s="42">
        <f t="shared" si="135"/>
        <v>26667</v>
      </c>
      <c r="DV133" s="42">
        <f t="shared" si="135"/>
        <v>0</v>
      </c>
      <c r="DW133" s="42">
        <f t="shared" ref="DW133:DX141" si="148">AA133-CX133</f>
        <v>0</v>
      </c>
      <c r="DX133" s="42">
        <f t="shared" si="148"/>
        <v>0</v>
      </c>
      <c r="DY133" s="42"/>
      <c r="DZ133" s="42">
        <f t="shared" ref="DZ133:DZ140" si="149">AD133-DA133</f>
        <v>0</v>
      </c>
      <c r="EB133" s="47">
        <f t="shared" si="140"/>
        <v>130000000</v>
      </c>
      <c r="EC133" s="47">
        <f t="shared" si="141"/>
        <v>130000000</v>
      </c>
      <c r="ED133" s="47">
        <f t="shared" si="142"/>
        <v>130000000</v>
      </c>
    </row>
    <row r="134" spans="1:136" ht="31.2" customHeight="1" x14ac:dyDescent="0.3">
      <c r="A134" s="82"/>
      <c r="B134" s="105"/>
      <c r="C134" s="39" t="s">
        <v>378</v>
      </c>
      <c r="D134" s="142" t="s">
        <v>379</v>
      </c>
      <c r="E134" s="41">
        <v>510</v>
      </c>
      <c r="F134" s="42" t="s">
        <v>377</v>
      </c>
      <c r="G134" s="42">
        <f t="shared" si="124"/>
        <v>128270473</v>
      </c>
      <c r="H134" s="42"/>
      <c r="I134" s="42">
        <v>118270473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>
        <v>10000000</v>
      </c>
      <c r="Z134" s="42"/>
      <c r="AA134" s="42"/>
      <c r="AB134" s="42"/>
      <c r="AC134" s="42"/>
      <c r="AD134" s="42"/>
      <c r="AE134" s="43">
        <f t="shared" si="86"/>
        <v>1</v>
      </c>
      <c r="AF134" s="42">
        <f t="shared" si="125"/>
        <v>128270473</v>
      </c>
      <c r="AG134" s="42"/>
      <c r="AH134" s="42">
        <f>+'[1]OCTUBRE 2019'!$K$4042</f>
        <v>118270473</v>
      </c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>
        <f>+'[1]OCTUBRE 2019'!$AA$4042</f>
        <v>10000000</v>
      </c>
      <c r="AY134" s="42"/>
      <c r="AZ134" s="42"/>
      <c r="BA134" s="42"/>
      <c r="BB134" s="42"/>
      <c r="BC134" s="42"/>
      <c r="BD134" s="43">
        <f t="shared" si="138"/>
        <v>0</v>
      </c>
      <c r="BE134" s="42">
        <f t="shared" si="126"/>
        <v>0</v>
      </c>
      <c r="BF134" s="42">
        <f t="shared" si="143"/>
        <v>0</v>
      </c>
      <c r="BG134" s="42">
        <f t="shared" si="143"/>
        <v>0</v>
      </c>
      <c r="BH134" s="42">
        <f t="shared" si="143"/>
        <v>0</v>
      </c>
      <c r="BI134" s="42">
        <f t="shared" si="128"/>
        <v>0</v>
      </c>
      <c r="BJ134" s="42">
        <f t="shared" si="144"/>
        <v>0</v>
      </c>
      <c r="BK134" s="42">
        <f t="shared" si="144"/>
        <v>0</v>
      </c>
      <c r="BL134" s="42">
        <f t="shared" si="144"/>
        <v>0</v>
      </c>
      <c r="BM134" s="42">
        <f t="shared" si="144"/>
        <v>0</v>
      </c>
      <c r="BN134" s="42">
        <f t="shared" si="144"/>
        <v>0</v>
      </c>
      <c r="BO134" s="42">
        <f t="shared" si="144"/>
        <v>0</v>
      </c>
      <c r="BP134" s="42">
        <f t="shared" si="144"/>
        <v>0</v>
      </c>
      <c r="BQ134" s="42">
        <f t="shared" si="144"/>
        <v>0</v>
      </c>
      <c r="BR134" s="42">
        <f t="shared" si="144"/>
        <v>0</v>
      </c>
      <c r="BS134" s="42">
        <f t="shared" si="144"/>
        <v>0</v>
      </c>
      <c r="BT134" s="42">
        <f t="shared" si="144"/>
        <v>0</v>
      </c>
      <c r="BU134" s="42">
        <f t="shared" si="144"/>
        <v>0</v>
      </c>
      <c r="BV134" s="42">
        <f t="shared" si="144"/>
        <v>0</v>
      </c>
      <c r="BW134" s="42">
        <f t="shared" si="144"/>
        <v>0</v>
      </c>
      <c r="BX134" s="42">
        <f t="shared" si="144"/>
        <v>0</v>
      </c>
      <c r="BY134" s="42">
        <f t="shared" si="144"/>
        <v>0</v>
      </c>
      <c r="BZ134" s="42">
        <f t="shared" si="145"/>
        <v>0</v>
      </c>
      <c r="CA134" s="42"/>
      <c r="CB134" s="42">
        <f t="shared" si="146"/>
        <v>0</v>
      </c>
      <c r="CC134" s="43">
        <f t="shared" si="114"/>
        <v>0.99999999220397351</v>
      </c>
      <c r="CD134" s="42">
        <f t="shared" si="132"/>
        <v>128270472</v>
      </c>
      <c r="CE134" s="42"/>
      <c r="CF134" s="42">
        <f>+'[1]OCTUBRE 2019'!$H$4043+'[1]OCTUBRE 2019'!$H$4060</f>
        <v>118270472</v>
      </c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>
        <f>+'[4]JULIO 2019'!$Z$2753+'[1]OCTUBRE 2019'!$H$4063</f>
        <v>10000000</v>
      </c>
      <c r="CW134" s="42"/>
      <c r="CX134" s="42"/>
      <c r="CY134" s="42"/>
      <c r="CZ134" s="42"/>
      <c r="DA134" s="42"/>
      <c r="DB134" s="43">
        <f t="shared" si="139"/>
        <v>7.7960264910359456E-9</v>
      </c>
      <c r="DC134" s="42">
        <f t="shared" si="133"/>
        <v>1</v>
      </c>
      <c r="DD134" s="42">
        <f t="shared" si="147"/>
        <v>0</v>
      </c>
      <c r="DE134" s="42">
        <f t="shared" si="147"/>
        <v>1</v>
      </c>
      <c r="DF134" s="42">
        <f t="shared" si="147"/>
        <v>0</v>
      </c>
      <c r="DG134" s="42">
        <f t="shared" si="135"/>
        <v>0</v>
      </c>
      <c r="DH134" s="42">
        <f t="shared" si="135"/>
        <v>0</v>
      </c>
      <c r="DI134" s="42">
        <f t="shared" si="135"/>
        <v>0</v>
      </c>
      <c r="DJ134" s="42">
        <f t="shared" si="135"/>
        <v>0</v>
      </c>
      <c r="DK134" s="42">
        <f t="shared" si="135"/>
        <v>0</v>
      </c>
      <c r="DL134" s="42">
        <f t="shared" si="135"/>
        <v>0</v>
      </c>
      <c r="DM134" s="42">
        <f t="shared" si="135"/>
        <v>0</v>
      </c>
      <c r="DN134" s="42">
        <f t="shared" si="135"/>
        <v>0</v>
      </c>
      <c r="DO134" s="42">
        <f t="shared" si="135"/>
        <v>0</v>
      </c>
      <c r="DP134" s="42">
        <f t="shared" si="135"/>
        <v>0</v>
      </c>
      <c r="DQ134" s="42">
        <f t="shared" si="135"/>
        <v>0</v>
      </c>
      <c r="DR134" s="42">
        <f t="shared" si="135"/>
        <v>0</v>
      </c>
      <c r="DS134" s="42">
        <f t="shared" si="135"/>
        <v>0</v>
      </c>
      <c r="DT134" s="42">
        <f t="shared" si="135"/>
        <v>0</v>
      </c>
      <c r="DU134" s="42">
        <f t="shared" si="135"/>
        <v>0</v>
      </c>
      <c r="DV134" s="42">
        <f t="shared" si="135"/>
        <v>0</v>
      </c>
      <c r="DW134" s="42">
        <f t="shared" si="148"/>
        <v>0</v>
      </c>
      <c r="DX134" s="42">
        <f t="shared" si="148"/>
        <v>0</v>
      </c>
      <c r="DY134" s="42"/>
      <c r="DZ134" s="42">
        <f t="shared" si="149"/>
        <v>0</v>
      </c>
      <c r="EB134" s="47">
        <f t="shared" si="140"/>
        <v>128270473</v>
      </c>
      <c r="EC134" s="47">
        <f t="shared" si="141"/>
        <v>128270473</v>
      </c>
      <c r="ED134" s="47">
        <f t="shared" si="142"/>
        <v>128270473</v>
      </c>
    </row>
    <row r="135" spans="1:136" ht="27.6" customHeight="1" x14ac:dyDescent="0.3">
      <c r="A135" s="82"/>
      <c r="B135" s="105"/>
      <c r="C135" s="78" t="s">
        <v>380</v>
      </c>
      <c r="D135" s="39" t="s">
        <v>381</v>
      </c>
      <c r="E135" s="142">
        <v>510</v>
      </c>
      <c r="F135" s="41" t="s">
        <v>377</v>
      </c>
      <c r="G135" s="42">
        <f t="shared" si="124"/>
        <v>160000000</v>
      </c>
      <c r="H135" s="42"/>
      <c r="I135" s="42">
        <v>150000000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>
        <v>10000000</v>
      </c>
      <c r="Z135" s="42"/>
      <c r="AA135" s="42"/>
      <c r="AB135" s="42"/>
      <c r="AC135" s="42"/>
      <c r="AD135" s="42"/>
      <c r="AE135" s="43">
        <f t="shared" si="86"/>
        <v>1</v>
      </c>
      <c r="AF135" s="42">
        <f t="shared" si="125"/>
        <v>160000000</v>
      </c>
      <c r="AG135" s="42"/>
      <c r="AH135" s="42">
        <f>+'[3]NOVIEMBRE 2019'!$K$4508</f>
        <v>150000000</v>
      </c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>
        <f>+'[3]NOVIEMBRE 2019'!$AA$4508</f>
        <v>10000000</v>
      </c>
      <c r="AY135" s="42"/>
      <c r="AZ135" s="42"/>
      <c r="BA135" s="42"/>
      <c r="BB135" s="42"/>
      <c r="BC135" s="42"/>
      <c r="BD135" s="43">
        <f t="shared" si="138"/>
        <v>0</v>
      </c>
      <c r="BE135" s="42">
        <f t="shared" si="126"/>
        <v>0</v>
      </c>
      <c r="BF135" s="42">
        <f t="shared" si="143"/>
        <v>0</v>
      </c>
      <c r="BG135" s="42">
        <f t="shared" si="143"/>
        <v>0</v>
      </c>
      <c r="BH135" s="42">
        <f t="shared" si="143"/>
        <v>0</v>
      </c>
      <c r="BI135" s="42">
        <f t="shared" si="128"/>
        <v>0</v>
      </c>
      <c r="BJ135" s="42">
        <f t="shared" si="144"/>
        <v>0</v>
      </c>
      <c r="BK135" s="42">
        <f t="shared" si="144"/>
        <v>0</v>
      </c>
      <c r="BL135" s="42">
        <f t="shared" si="144"/>
        <v>0</v>
      </c>
      <c r="BM135" s="42">
        <f t="shared" si="144"/>
        <v>0</v>
      </c>
      <c r="BN135" s="42">
        <f t="shared" si="144"/>
        <v>0</v>
      </c>
      <c r="BO135" s="42">
        <f t="shared" si="144"/>
        <v>0</v>
      </c>
      <c r="BP135" s="42">
        <f t="shared" si="144"/>
        <v>0</v>
      </c>
      <c r="BQ135" s="42">
        <f t="shared" si="144"/>
        <v>0</v>
      </c>
      <c r="BR135" s="42">
        <f t="shared" si="144"/>
        <v>0</v>
      </c>
      <c r="BS135" s="42">
        <f t="shared" si="144"/>
        <v>0</v>
      </c>
      <c r="BT135" s="42">
        <f t="shared" si="144"/>
        <v>0</v>
      </c>
      <c r="BU135" s="42">
        <f t="shared" si="144"/>
        <v>0</v>
      </c>
      <c r="BV135" s="42">
        <f t="shared" si="144"/>
        <v>0</v>
      </c>
      <c r="BW135" s="42">
        <f t="shared" si="144"/>
        <v>0</v>
      </c>
      <c r="BX135" s="42">
        <f t="shared" si="144"/>
        <v>0</v>
      </c>
      <c r="BY135" s="42">
        <f t="shared" si="144"/>
        <v>0</v>
      </c>
      <c r="BZ135" s="42">
        <f t="shared" si="145"/>
        <v>0</v>
      </c>
      <c r="CA135" s="42"/>
      <c r="CB135" s="42">
        <f t="shared" si="146"/>
        <v>0</v>
      </c>
      <c r="CC135" s="43">
        <f t="shared" si="114"/>
        <v>0.93757141249999998</v>
      </c>
      <c r="CD135" s="42">
        <f t="shared" si="132"/>
        <v>150011426</v>
      </c>
      <c r="CE135" s="42"/>
      <c r="CF135" s="42">
        <f>+'[1]OCTUBRE 2019'!$H$4071</f>
        <v>149212900</v>
      </c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>
        <f>+'[1]OCTUBRE 2019'!$H$4084</f>
        <v>798526</v>
      </c>
      <c r="CW135" s="42"/>
      <c r="CX135" s="42"/>
      <c r="CY135" s="42"/>
      <c r="CZ135" s="42"/>
      <c r="DA135" s="42"/>
      <c r="DB135" s="43">
        <f t="shared" si="139"/>
        <v>6.2428587500000021E-2</v>
      </c>
      <c r="DC135" s="42">
        <f t="shared" si="133"/>
        <v>9988574</v>
      </c>
      <c r="DD135" s="42">
        <f t="shared" si="147"/>
        <v>0</v>
      </c>
      <c r="DE135" s="42">
        <f t="shared" si="147"/>
        <v>787100</v>
      </c>
      <c r="DF135" s="42">
        <f t="shared" si="147"/>
        <v>0</v>
      </c>
      <c r="DG135" s="42">
        <f t="shared" si="135"/>
        <v>0</v>
      </c>
      <c r="DH135" s="42">
        <f t="shared" si="135"/>
        <v>0</v>
      </c>
      <c r="DI135" s="42">
        <f t="shared" si="135"/>
        <v>0</v>
      </c>
      <c r="DJ135" s="42">
        <f t="shared" si="135"/>
        <v>0</v>
      </c>
      <c r="DK135" s="42">
        <f t="shared" si="135"/>
        <v>0</v>
      </c>
      <c r="DL135" s="42">
        <f t="shared" si="135"/>
        <v>0</v>
      </c>
      <c r="DM135" s="42">
        <f t="shared" si="135"/>
        <v>0</v>
      </c>
      <c r="DN135" s="42">
        <f t="shared" si="135"/>
        <v>0</v>
      </c>
      <c r="DO135" s="42">
        <f t="shared" si="135"/>
        <v>0</v>
      </c>
      <c r="DP135" s="42">
        <f t="shared" si="135"/>
        <v>0</v>
      </c>
      <c r="DQ135" s="42">
        <f t="shared" si="135"/>
        <v>0</v>
      </c>
      <c r="DR135" s="42">
        <f t="shared" si="135"/>
        <v>0</v>
      </c>
      <c r="DS135" s="42">
        <f t="shared" si="135"/>
        <v>0</v>
      </c>
      <c r="DT135" s="42">
        <f t="shared" si="135"/>
        <v>0</v>
      </c>
      <c r="DU135" s="42">
        <f t="shared" si="135"/>
        <v>9201474</v>
      </c>
      <c r="DV135" s="42">
        <f t="shared" si="135"/>
        <v>0</v>
      </c>
      <c r="DW135" s="42">
        <f t="shared" si="148"/>
        <v>0</v>
      </c>
      <c r="DX135" s="42">
        <f t="shared" si="148"/>
        <v>0</v>
      </c>
      <c r="DY135" s="42"/>
      <c r="DZ135" s="42">
        <f t="shared" si="149"/>
        <v>0</v>
      </c>
      <c r="EB135" s="47">
        <f t="shared" si="140"/>
        <v>160000000</v>
      </c>
      <c r="EC135" s="47">
        <f t="shared" si="141"/>
        <v>160000000</v>
      </c>
      <c r="ED135" s="47">
        <f t="shared" si="142"/>
        <v>160000000</v>
      </c>
    </row>
    <row r="136" spans="1:136" ht="18.600000000000001" customHeight="1" x14ac:dyDescent="0.3">
      <c r="A136" s="82"/>
      <c r="B136" s="105"/>
      <c r="C136" s="78" t="s">
        <v>382</v>
      </c>
      <c r="D136" s="39" t="s">
        <v>383</v>
      </c>
      <c r="E136" s="142">
        <v>510</v>
      </c>
      <c r="F136" s="41" t="s">
        <v>377</v>
      </c>
      <c r="G136" s="42">
        <f t="shared" si="124"/>
        <v>14000000</v>
      </c>
      <c r="H136" s="42"/>
      <c r="I136" s="42">
        <v>7000000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>
        <v>7000000</v>
      </c>
      <c r="Z136" s="42"/>
      <c r="AA136" s="42"/>
      <c r="AB136" s="42"/>
      <c r="AC136" s="42"/>
      <c r="AD136" s="42"/>
      <c r="AE136" s="43">
        <f t="shared" si="86"/>
        <v>0.5</v>
      </c>
      <c r="AF136" s="42">
        <f t="shared" si="125"/>
        <v>7000000</v>
      </c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>
        <f>+'[1]OCTUBRE 2019'!$AA$4090</f>
        <v>7000000</v>
      </c>
      <c r="AY136" s="42"/>
      <c r="AZ136" s="42"/>
      <c r="BA136" s="42"/>
      <c r="BB136" s="42"/>
      <c r="BC136" s="42"/>
      <c r="BD136" s="43">
        <f t="shared" si="138"/>
        <v>0.5</v>
      </c>
      <c r="BE136" s="42">
        <f t="shared" si="126"/>
        <v>7000000</v>
      </c>
      <c r="BF136" s="42">
        <f t="shared" si="143"/>
        <v>0</v>
      </c>
      <c r="BG136" s="42">
        <f t="shared" si="143"/>
        <v>7000000</v>
      </c>
      <c r="BH136" s="42">
        <f t="shared" si="143"/>
        <v>0</v>
      </c>
      <c r="BI136" s="42">
        <f t="shared" si="128"/>
        <v>0</v>
      </c>
      <c r="BJ136" s="42">
        <f t="shared" si="144"/>
        <v>0</v>
      </c>
      <c r="BK136" s="42">
        <f t="shared" si="144"/>
        <v>0</v>
      </c>
      <c r="BL136" s="42">
        <f t="shared" si="144"/>
        <v>0</v>
      </c>
      <c r="BM136" s="42">
        <f t="shared" si="144"/>
        <v>0</v>
      </c>
      <c r="BN136" s="42">
        <f t="shared" si="144"/>
        <v>0</v>
      </c>
      <c r="BO136" s="42">
        <f t="shared" si="144"/>
        <v>0</v>
      </c>
      <c r="BP136" s="42">
        <f t="shared" si="144"/>
        <v>0</v>
      </c>
      <c r="BQ136" s="42">
        <f t="shared" si="144"/>
        <v>0</v>
      </c>
      <c r="BR136" s="42">
        <f t="shared" si="144"/>
        <v>0</v>
      </c>
      <c r="BS136" s="42">
        <f t="shared" si="144"/>
        <v>0</v>
      </c>
      <c r="BT136" s="42">
        <f t="shared" si="144"/>
        <v>0</v>
      </c>
      <c r="BU136" s="42">
        <f t="shared" si="144"/>
        <v>0</v>
      </c>
      <c r="BV136" s="42">
        <f t="shared" si="144"/>
        <v>0</v>
      </c>
      <c r="BW136" s="42">
        <f t="shared" si="144"/>
        <v>0</v>
      </c>
      <c r="BX136" s="42">
        <f t="shared" si="144"/>
        <v>0</v>
      </c>
      <c r="BY136" s="42">
        <f t="shared" si="144"/>
        <v>0</v>
      </c>
      <c r="BZ136" s="42">
        <f t="shared" si="145"/>
        <v>0</v>
      </c>
      <c r="CA136" s="42"/>
      <c r="CB136" s="42">
        <f t="shared" si="146"/>
        <v>0</v>
      </c>
      <c r="CC136" s="43">
        <f t="shared" si="114"/>
        <v>0.5</v>
      </c>
      <c r="CD136" s="42">
        <f t="shared" si="132"/>
        <v>7000000</v>
      </c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>
        <f>+'[3]NOVIEMBRE 2019'!$H$4529</f>
        <v>7000000</v>
      </c>
      <c r="CW136" s="42"/>
      <c r="CX136" s="42"/>
      <c r="CY136" s="42"/>
      <c r="CZ136" s="42"/>
      <c r="DA136" s="42"/>
      <c r="DB136" s="43">
        <f t="shared" si="139"/>
        <v>0.5</v>
      </c>
      <c r="DC136" s="42">
        <f t="shared" si="133"/>
        <v>7000000</v>
      </c>
      <c r="DD136" s="42">
        <f t="shared" si="147"/>
        <v>0</v>
      </c>
      <c r="DE136" s="42">
        <f t="shared" si="147"/>
        <v>7000000</v>
      </c>
      <c r="DF136" s="42">
        <f t="shared" si="147"/>
        <v>0</v>
      </c>
      <c r="DG136" s="42">
        <f t="shared" si="135"/>
        <v>0</v>
      </c>
      <c r="DH136" s="42">
        <f t="shared" si="135"/>
        <v>0</v>
      </c>
      <c r="DI136" s="42">
        <f t="shared" si="135"/>
        <v>0</v>
      </c>
      <c r="DJ136" s="42">
        <f t="shared" si="135"/>
        <v>0</v>
      </c>
      <c r="DK136" s="42">
        <f t="shared" si="135"/>
        <v>0</v>
      </c>
      <c r="DL136" s="42">
        <f t="shared" si="135"/>
        <v>0</v>
      </c>
      <c r="DM136" s="42">
        <f t="shared" si="135"/>
        <v>0</v>
      </c>
      <c r="DN136" s="42">
        <f t="shared" si="135"/>
        <v>0</v>
      </c>
      <c r="DO136" s="42">
        <f t="shared" si="135"/>
        <v>0</v>
      </c>
      <c r="DP136" s="42">
        <f t="shared" si="135"/>
        <v>0</v>
      </c>
      <c r="DQ136" s="42">
        <f t="shared" si="135"/>
        <v>0</v>
      </c>
      <c r="DR136" s="42">
        <f t="shared" si="135"/>
        <v>0</v>
      </c>
      <c r="DS136" s="42">
        <f t="shared" si="135"/>
        <v>0</v>
      </c>
      <c r="DT136" s="42">
        <f t="shared" si="135"/>
        <v>0</v>
      </c>
      <c r="DU136" s="42">
        <f t="shared" si="135"/>
        <v>0</v>
      </c>
      <c r="DV136" s="42">
        <f t="shared" si="135"/>
        <v>0</v>
      </c>
      <c r="DW136" s="42">
        <f t="shared" si="148"/>
        <v>0</v>
      </c>
      <c r="DX136" s="42">
        <f t="shared" si="148"/>
        <v>0</v>
      </c>
      <c r="DY136" s="42"/>
      <c r="DZ136" s="42">
        <f t="shared" si="149"/>
        <v>0</v>
      </c>
      <c r="EB136" s="47">
        <f t="shared" si="140"/>
        <v>14000000</v>
      </c>
      <c r="EC136" s="47">
        <f t="shared" si="141"/>
        <v>14000000</v>
      </c>
      <c r="ED136" s="47">
        <f t="shared" si="142"/>
        <v>14000000</v>
      </c>
    </row>
    <row r="137" spans="1:136" ht="72.599999999999994" customHeight="1" x14ac:dyDescent="0.3">
      <c r="A137" s="82"/>
      <c r="B137" s="105"/>
      <c r="C137" s="78" t="s">
        <v>384</v>
      </c>
      <c r="D137" s="50" t="s">
        <v>385</v>
      </c>
      <c r="E137" s="142">
        <v>510</v>
      </c>
      <c r="F137" s="41" t="s">
        <v>386</v>
      </c>
      <c r="G137" s="42">
        <f t="shared" si="124"/>
        <v>0</v>
      </c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3" t="e">
        <f t="shared" si="86"/>
        <v>#DIV/0!</v>
      </c>
      <c r="AF137" s="42">
        <f t="shared" si="125"/>
        <v>0</v>
      </c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3" t="e">
        <f t="shared" si="138"/>
        <v>#DIV/0!</v>
      </c>
      <c r="BE137" s="42">
        <f t="shared" si="126"/>
        <v>0</v>
      </c>
      <c r="BF137" s="42">
        <f t="shared" si="143"/>
        <v>0</v>
      </c>
      <c r="BG137" s="42">
        <f t="shared" si="143"/>
        <v>0</v>
      </c>
      <c r="BH137" s="42">
        <f t="shared" si="143"/>
        <v>0</v>
      </c>
      <c r="BI137" s="42">
        <f t="shared" si="128"/>
        <v>0</v>
      </c>
      <c r="BJ137" s="42">
        <f t="shared" si="144"/>
        <v>0</v>
      </c>
      <c r="BK137" s="42">
        <f t="shared" si="144"/>
        <v>0</v>
      </c>
      <c r="BL137" s="42">
        <f t="shared" si="144"/>
        <v>0</v>
      </c>
      <c r="BM137" s="42">
        <f t="shared" si="144"/>
        <v>0</v>
      </c>
      <c r="BN137" s="42">
        <f t="shared" si="144"/>
        <v>0</v>
      </c>
      <c r="BO137" s="42">
        <f t="shared" si="144"/>
        <v>0</v>
      </c>
      <c r="BP137" s="42">
        <f t="shared" si="144"/>
        <v>0</v>
      </c>
      <c r="BQ137" s="42">
        <f t="shared" si="144"/>
        <v>0</v>
      </c>
      <c r="BR137" s="42">
        <f t="shared" si="144"/>
        <v>0</v>
      </c>
      <c r="BS137" s="42">
        <f t="shared" si="144"/>
        <v>0</v>
      </c>
      <c r="BT137" s="42">
        <f t="shared" si="144"/>
        <v>0</v>
      </c>
      <c r="BU137" s="42">
        <f t="shared" si="144"/>
        <v>0</v>
      </c>
      <c r="BV137" s="42">
        <f t="shared" si="144"/>
        <v>0</v>
      </c>
      <c r="BW137" s="42">
        <f t="shared" si="144"/>
        <v>0</v>
      </c>
      <c r="BX137" s="42">
        <f t="shared" si="144"/>
        <v>0</v>
      </c>
      <c r="BY137" s="42">
        <f t="shared" si="144"/>
        <v>0</v>
      </c>
      <c r="BZ137" s="42">
        <f t="shared" si="145"/>
        <v>0</v>
      </c>
      <c r="CA137" s="42"/>
      <c r="CB137" s="42">
        <f t="shared" si="146"/>
        <v>0</v>
      </c>
      <c r="CC137" s="43" t="e">
        <f t="shared" si="114"/>
        <v>#DIV/0!</v>
      </c>
      <c r="CD137" s="42">
        <f t="shared" si="132"/>
        <v>0</v>
      </c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3" t="e">
        <f t="shared" si="139"/>
        <v>#DIV/0!</v>
      </c>
      <c r="DC137" s="42">
        <f t="shared" si="133"/>
        <v>0</v>
      </c>
      <c r="DD137" s="42">
        <f t="shared" si="147"/>
        <v>0</v>
      </c>
      <c r="DE137" s="42">
        <f t="shared" si="147"/>
        <v>0</v>
      </c>
      <c r="DF137" s="42">
        <f t="shared" si="147"/>
        <v>0</v>
      </c>
      <c r="DG137" s="42">
        <f t="shared" si="135"/>
        <v>0</v>
      </c>
      <c r="DH137" s="42">
        <f t="shared" si="135"/>
        <v>0</v>
      </c>
      <c r="DI137" s="42">
        <f t="shared" si="135"/>
        <v>0</v>
      </c>
      <c r="DJ137" s="42">
        <f t="shared" si="135"/>
        <v>0</v>
      </c>
      <c r="DK137" s="42">
        <f t="shared" si="135"/>
        <v>0</v>
      </c>
      <c r="DL137" s="42">
        <f t="shared" si="135"/>
        <v>0</v>
      </c>
      <c r="DM137" s="42">
        <f t="shared" si="135"/>
        <v>0</v>
      </c>
      <c r="DN137" s="42">
        <f t="shared" si="135"/>
        <v>0</v>
      </c>
      <c r="DO137" s="42">
        <f t="shared" si="135"/>
        <v>0</v>
      </c>
      <c r="DP137" s="42">
        <f t="shared" si="135"/>
        <v>0</v>
      </c>
      <c r="DQ137" s="42">
        <f t="shared" si="135"/>
        <v>0</v>
      </c>
      <c r="DR137" s="42">
        <f t="shared" si="135"/>
        <v>0</v>
      </c>
      <c r="DS137" s="42">
        <f t="shared" si="135"/>
        <v>0</v>
      </c>
      <c r="DT137" s="42">
        <f t="shared" si="135"/>
        <v>0</v>
      </c>
      <c r="DU137" s="42">
        <f t="shared" si="135"/>
        <v>0</v>
      </c>
      <c r="DV137" s="42">
        <f t="shared" si="135"/>
        <v>0</v>
      </c>
      <c r="DW137" s="42">
        <f t="shared" si="148"/>
        <v>0</v>
      </c>
      <c r="DX137" s="42">
        <f t="shared" si="148"/>
        <v>0</v>
      </c>
      <c r="DY137" s="42"/>
      <c r="DZ137" s="42">
        <f t="shared" si="149"/>
        <v>0</v>
      </c>
      <c r="EB137" s="47">
        <f t="shared" si="140"/>
        <v>0</v>
      </c>
      <c r="EC137" s="47">
        <f t="shared" si="141"/>
        <v>0</v>
      </c>
      <c r="ED137" s="47">
        <f t="shared" si="142"/>
        <v>0</v>
      </c>
    </row>
    <row r="138" spans="1:136" ht="84" customHeight="1" x14ac:dyDescent="0.3">
      <c r="A138" s="82"/>
      <c r="B138" s="105"/>
      <c r="C138" s="78" t="s">
        <v>387</v>
      </c>
      <c r="D138" s="50" t="s">
        <v>388</v>
      </c>
      <c r="E138" s="142">
        <v>510</v>
      </c>
      <c r="F138" s="41" t="s">
        <v>386</v>
      </c>
      <c r="G138" s="42">
        <f t="shared" si="124"/>
        <v>4000000</v>
      </c>
      <c r="H138" s="42"/>
      <c r="I138" s="42">
        <v>4000000</v>
      </c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3">
        <f t="shared" si="86"/>
        <v>0</v>
      </c>
      <c r="AF138" s="42">
        <f t="shared" si="125"/>
        <v>0</v>
      </c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3">
        <f t="shared" si="138"/>
        <v>1</v>
      </c>
      <c r="BE138" s="42">
        <f t="shared" si="126"/>
        <v>4000000</v>
      </c>
      <c r="BF138" s="42">
        <f t="shared" si="143"/>
        <v>0</v>
      </c>
      <c r="BG138" s="42">
        <f t="shared" si="143"/>
        <v>4000000</v>
      </c>
      <c r="BH138" s="42">
        <f t="shared" si="143"/>
        <v>0</v>
      </c>
      <c r="BI138" s="42">
        <f t="shared" si="128"/>
        <v>0</v>
      </c>
      <c r="BJ138" s="42">
        <f t="shared" si="144"/>
        <v>0</v>
      </c>
      <c r="BK138" s="42">
        <f t="shared" si="144"/>
        <v>0</v>
      </c>
      <c r="BL138" s="42">
        <f t="shared" si="144"/>
        <v>0</v>
      </c>
      <c r="BM138" s="42">
        <f t="shared" si="144"/>
        <v>0</v>
      </c>
      <c r="BN138" s="42">
        <f t="shared" si="144"/>
        <v>0</v>
      </c>
      <c r="BO138" s="42">
        <f t="shared" si="144"/>
        <v>0</v>
      </c>
      <c r="BP138" s="42">
        <f t="shared" si="144"/>
        <v>0</v>
      </c>
      <c r="BQ138" s="42">
        <f t="shared" si="144"/>
        <v>0</v>
      </c>
      <c r="BR138" s="42">
        <f t="shared" si="144"/>
        <v>0</v>
      </c>
      <c r="BS138" s="42">
        <f t="shared" si="144"/>
        <v>0</v>
      </c>
      <c r="BT138" s="42">
        <f t="shared" si="144"/>
        <v>0</v>
      </c>
      <c r="BU138" s="42">
        <f t="shared" si="144"/>
        <v>0</v>
      </c>
      <c r="BV138" s="42">
        <f t="shared" si="144"/>
        <v>0</v>
      </c>
      <c r="BW138" s="42">
        <f t="shared" si="144"/>
        <v>0</v>
      </c>
      <c r="BX138" s="42">
        <f t="shared" si="144"/>
        <v>0</v>
      </c>
      <c r="BY138" s="42">
        <f t="shared" si="144"/>
        <v>0</v>
      </c>
      <c r="BZ138" s="42">
        <f t="shared" si="145"/>
        <v>0</v>
      </c>
      <c r="CA138" s="42"/>
      <c r="CB138" s="42">
        <f t="shared" si="146"/>
        <v>0</v>
      </c>
      <c r="CC138" s="43">
        <f t="shared" si="114"/>
        <v>0</v>
      </c>
      <c r="CD138" s="42">
        <f t="shared" si="132"/>
        <v>0</v>
      </c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3">
        <f t="shared" si="139"/>
        <v>1</v>
      </c>
      <c r="DC138" s="42">
        <f t="shared" si="133"/>
        <v>4000000</v>
      </c>
      <c r="DD138" s="42">
        <f t="shared" si="147"/>
        <v>0</v>
      </c>
      <c r="DE138" s="42">
        <f t="shared" si="147"/>
        <v>4000000</v>
      </c>
      <c r="DF138" s="42">
        <f t="shared" si="147"/>
        <v>0</v>
      </c>
      <c r="DG138" s="42">
        <f t="shared" si="147"/>
        <v>0</v>
      </c>
      <c r="DH138" s="42">
        <f t="shared" si="147"/>
        <v>0</v>
      </c>
      <c r="DI138" s="42">
        <f t="shared" si="147"/>
        <v>0</v>
      </c>
      <c r="DJ138" s="42">
        <f t="shared" si="147"/>
        <v>0</v>
      </c>
      <c r="DK138" s="42">
        <f t="shared" si="147"/>
        <v>0</v>
      </c>
      <c r="DL138" s="42">
        <f t="shared" si="147"/>
        <v>0</v>
      </c>
      <c r="DM138" s="42">
        <f t="shared" si="147"/>
        <v>0</v>
      </c>
      <c r="DN138" s="42">
        <f t="shared" si="147"/>
        <v>0</v>
      </c>
      <c r="DO138" s="42">
        <f t="shared" si="147"/>
        <v>0</v>
      </c>
      <c r="DP138" s="42">
        <f t="shared" si="147"/>
        <v>0</v>
      </c>
      <c r="DQ138" s="42">
        <f t="shared" si="147"/>
        <v>0</v>
      </c>
      <c r="DR138" s="42">
        <f t="shared" si="147"/>
        <v>0</v>
      </c>
      <c r="DS138" s="42">
        <f t="shared" si="147"/>
        <v>0</v>
      </c>
      <c r="DT138" s="42">
        <f t="shared" ref="DT138:DV141" si="150">X138-CU138</f>
        <v>0</v>
      </c>
      <c r="DU138" s="42">
        <f t="shared" si="150"/>
        <v>0</v>
      </c>
      <c r="DV138" s="42">
        <f t="shared" si="150"/>
        <v>0</v>
      </c>
      <c r="DW138" s="42">
        <f t="shared" si="148"/>
        <v>0</v>
      </c>
      <c r="DX138" s="42">
        <f t="shared" si="148"/>
        <v>0</v>
      </c>
      <c r="DY138" s="42"/>
      <c r="DZ138" s="42">
        <f t="shared" si="149"/>
        <v>0</v>
      </c>
      <c r="EB138" s="47">
        <f t="shared" si="140"/>
        <v>4000000</v>
      </c>
      <c r="EC138" s="47">
        <f t="shared" si="141"/>
        <v>4000000</v>
      </c>
      <c r="ED138" s="47">
        <f t="shared" si="142"/>
        <v>4000000</v>
      </c>
    </row>
    <row r="139" spans="1:136" ht="27.6" customHeight="1" x14ac:dyDescent="0.3">
      <c r="A139" s="82"/>
      <c r="B139" s="151"/>
      <c r="C139" s="78" t="s">
        <v>389</v>
      </c>
      <c r="D139" s="50" t="s">
        <v>390</v>
      </c>
      <c r="E139" s="142">
        <v>510</v>
      </c>
      <c r="F139" s="41" t="s">
        <v>302</v>
      </c>
      <c r="G139" s="42">
        <f t="shared" si="124"/>
        <v>100000000</v>
      </c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>
        <v>100000000</v>
      </c>
      <c r="Z139" s="42"/>
      <c r="AA139" s="42"/>
      <c r="AB139" s="42"/>
      <c r="AC139" s="42"/>
      <c r="AD139" s="42"/>
      <c r="AE139" s="43">
        <f t="shared" si="86"/>
        <v>1</v>
      </c>
      <c r="AF139" s="42">
        <f t="shared" si="125"/>
        <v>100000000</v>
      </c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>
        <f>+'[5]JUNIO 2019'!$Z$2278</f>
        <v>100000000</v>
      </c>
      <c r="AY139" s="42"/>
      <c r="AZ139" s="42"/>
      <c r="BA139" s="42"/>
      <c r="BB139" s="42"/>
      <c r="BC139" s="42"/>
      <c r="BD139" s="43">
        <f t="shared" si="138"/>
        <v>0</v>
      </c>
      <c r="BE139" s="42">
        <f t="shared" si="126"/>
        <v>0</v>
      </c>
      <c r="BF139" s="42">
        <f t="shared" si="143"/>
        <v>0</v>
      </c>
      <c r="BG139" s="42">
        <f t="shared" si="143"/>
        <v>0</v>
      </c>
      <c r="BH139" s="42">
        <f t="shared" si="143"/>
        <v>0</v>
      </c>
      <c r="BI139" s="42">
        <f t="shared" si="128"/>
        <v>0</v>
      </c>
      <c r="BJ139" s="42">
        <f t="shared" si="144"/>
        <v>0</v>
      </c>
      <c r="BK139" s="42">
        <f t="shared" si="144"/>
        <v>0</v>
      </c>
      <c r="BL139" s="42">
        <f t="shared" si="144"/>
        <v>0</v>
      </c>
      <c r="BM139" s="42">
        <f t="shared" si="144"/>
        <v>0</v>
      </c>
      <c r="BN139" s="42">
        <f t="shared" si="144"/>
        <v>0</v>
      </c>
      <c r="BO139" s="42">
        <f t="shared" si="144"/>
        <v>0</v>
      </c>
      <c r="BP139" s="42">
        <f t="shared" si="144"/>
        <v>0</v>
      </c>
      <c r="BQ139" s="42">
        <f t="shared" si="144"/>
        <v>0</v>
      </c>
      <c r="BR139" s="42">
        <f t="shared" si="144"/>
        <v>0</v>
      </c>
      <c r="BS139" s="42">
        <f t="shared" si="144"/>
        <v>0</v>
      </c>
      <c r="BT139" s="42">
        <f t="shared" si="144"/>
        <v>0</v>
      </c>
      <c r="BU139" s="42">
        <f t="shared" si="144"/>
        <v>0</v>
      </c>
      <c r="BV139" s="42">
        <f t="shared" si="144"/>
        <v>0</v>
      </c>
      <c r="BW139" s="42">
        <f t="shared" si="144"/>
        <v>0</v>
      </c>
      <c r="BX139" s="42">
        <f t="shared" si="144"/>
        <v>0</v>
      </c>
      <c r="BY139" s="42">
        <f t="shared" si="144"/>
        <v>0</v>
      </c>
      <c r="BZ139" s="42">
        <f t="shared" si="145"/>
        <v>0</v>
      </c>
      <c r="CA139" s="42"/>
      <c r="CB139" s="42">
        <f t="shared" si="146"/>
        <v>0</v>
      </c>
      <c r="CC139" s="43"/>
      <c r="CD139" s="42">
        <f t="shared" si="132"/>
        <v>94200000</v>
      </c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>
        <f>+'[8]AGOSTO 2019'!$H$3175</f>
        <v>94200000</v>
      </c>
      <c r="CW139" s="42"/>
      <c r="CX139" s="42"/>
      <c r="CY139" s="42"/>
      <c r="CZ139" s="42"/>
      <c r="DA139" s="42"/>
      <c r="DB139" s="43">
        <f t="shared" si="139"/>
        <v>1</v>
      </c>
      <c r="DC139" s="42">
        <f t="shared" si="133"/>
        <v>5800000</v>
      </c>
      <c r="DD139" s="42">
        <f t="shared" si="147"/>
        <v>0</v>
      </c>
      <c r="DE139" s="42">
        <f t="shared" si="147"/>
        <v>0</v>
      </c>
      <c r="DF139" s="42">
        <f t="shared" si="147"/>
        <v>0</v>
      </c>
      <c r="DG139" s="42">
        <f t="shared" si="147"/>
        <v>0</v>
      </c>
      <c r="DH139" s="42">
        <f t="shared" si="147"/>
        <v>0</v>
      </c>
      <c r="DI139" s="42">
        <f t="shared" si="147"/>
        <v>0</v>
      </c>
      <c r="DJ139" s="42">
        <f t="shared" si="147"/>
        <v>0</v>
      </c>
      <c r="DK139" s="42">
        <f t="shared" si="147"/>
        <v>0</v>
      </c>
      <c r="DL139" s="42">
        <f t="shared" si="147"/>
        <v>0</v>
      </c>
      <c r="DM139" s="42">
        <f t="shared" si="147"/>
        <v>0</v>
      </c>
      <c r="DN139" s="42">
        <f t="shared" si="147"/>
        <v>0</v>
      </c>
      <c r="DO139" s="42">
        <f t="shared" si="147"/>
        <v>0</v>
      </c>
      <c r="DP139" s="42">
        <f t="shared" si="147"/>
        <v>0</v>
      </c>
      <c r="DQ139" s="42">
        <f t="shared" si="147"/>
        <v>0</v>
      </c>
      <c r="DR139" s="42">
        <f t="shared" si="147"/>
        <v>0</v>
      </c>
      <c r="DS139" s="42">
        <f t="shared" si="147"/>
        <v>0</v>
      </c>
      <c r="DT139" s="42">
        <f t="shared" si="150"/>
        <v>0</v>
      </c>
      <c r="DU139" s="42">
        <f t="shared" si="150"/>
        <v>5800000</v>
      </c>
      <c r="DV139" s="42">
        <f t="shared" si="150"/>
        <v>0</v>
      </c>
      <c r="DW139" s="42">
        <f t="shared" si="148"/>
        <v>0</v>
      </c>
      <c r="DX139" s="42">
        <f t="shared" si="148"/>
        <v>0</v>
      </c>
      <c r="DY139" s="42"/>
      <c r="DZ139" s="42">
        <f t="shared" si="149"/>
        <v>0</v>
      </c>
      <c r="EB139" s="47">
        <f t="shared" si="140"/>
        <v>100000000</v>
      </c>
      <c r="EC139" s="47">
        <f t="shared" si="141"/>
        <v>100000000</v>
      </c>
      <c r="ED139" s="47">
        <f t="shared" si="142"/>
        <v>100000000</v>
      </c>
    </row>
    <row r="140" spans="1:136" ht="42" customHeight="1" x14ac:dyDescent="0.3">
      <c r="A140" s="82"/>
      <c r="B140" s="125" t="s">
        <v>391</v>
      </c>
      <c r="C140" s="78" t="s">
        <v>392</v>
      </c>
      <c r="D140" s="50" t="s">
        <v>393</v>
      </c>
      <c r="E140" s="142">
        <v>310</v>
      </c>
      <c r="F140" s="41" t="s">
        <v>394</v>
      </c>
      <c r="G140" s="42">
        <f t="shared" si="124"/>
        <v>131000000</v>
      </c>
      <c r="H140" s="42"/>
      <c r="I140" s="42">
        <f>150000000-35000000</f>
        <v>115000000</v>
      </c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>
        <f>13000000+3000000</f>
        <v>16000000</v>
      </c>
      <c r="AE140" s="43">
        <f t="shared" si="86"/>
        <v>1</v>
      </c>
      <c r="AF140" s="42">
        <f t="shared" si="125"/>
        <v>131000000</v>
      </c>
      <c r="AG140" s="42"/>
      <c r="AH140" s="42">
        <f>+'[6]MARZO 2019'!$K$225</f>
        <v>115000000</v>
      </c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>
        <f>+'[12]JULIO 2019'!$AF$572</f>
        <v>16000000</v>
      </c>
      <c r="BD140" s="43">
        <f t="shared" si="138"/>
        <v>0</v>
      </c>
      <c r="BE140" s="42">
        <f t="shared" si="126"/>
        <v>0</v>
      </c>
      <c r="BF140" s="42">
        <f t="shared" si="143"/>
        <v>0</v>
      </c>
      <c r="BG140" s="42">
        <f t="shared" si="143"/>
        <v>0</v>
      </c>
      <c r="BH140" s="42">
        <f t="shared" si="143"/>
        <v>0</v>
      </c>
      <c r="BI140" s="42">
        <f t="shared" si="128"/>
        <v>0</v>
      </c>
      <c r="BJ140" s="42">
        <f t="shared" si="144"/>
        <v>0</v>
      </c>
      <c r="BK140" s="42">
        <f t="shared" si="144"/>
        <v>0</v>
      </c>
      <c r="BL140" s="42">
        <f t="shared" si="144"/>
        <v>0</v>
      </c>
      <c r="BM140" s="42">
        <f t="shared" si="144"/>
        <v>0</v>
      </c>
      <c r="BN140" s="42">
        <f t="shared" si="144"/>
        <v>0</v>
      </c>
      <c r="BO140" s="42">
        <f t="shared" si="144"/>
        <v>0</v>
      </c>
      <c r="BP140" s="42">
        <f t="shared" si="144"/>
        <v>0</v>
      </c>
      <c r="BQ140" s="42">
        <f t="shared" si="144"/>
        <v>0</v>
      </c>
      <c r="BR140" s="42">
        <f t="shared" si="144"/>
        <v>0</v>
      </c>
      <c r="BS140" s="42">
        <f t="shared" si="144"/>
        <v>0</v>
      </c>
      <c r="BT140" s="42">
        <f t="shared" si="144"/>
        <v>0</v>
      </c>
      <c r="BU140" s="42">
        <f t="shared" si="144"/>
        <v>0</v>
      </c>
      <c r="BV140" s="42">
        <f t="shared" si="144"/>
        <v>0</v>
      </c>
      <c r="BW140" s="42">
        <f t="shared" si="144"/>
        <v>0</v>
      </c>
      <c r="BX140" s="42">
        <f t="shared" si="144"/>
        <v>0</v>
      </c>
      <c r="BY140" s="42">
        <f t="shared" si="144"/>
        <v>0</v>
      </c>
      <c r="BZ140" s="42">
        <f t="shared" si="145"/>
        <v>0</v>
      </c>
      <c r="CA140" s="42"/>
      <c r="CB140" s="42">
        <f t="shared" si="146"/>
        <v>0</v>
      </c>
      <c r="CC140" s="43">
        <f>+CD140/G140</f>
        <v>0.95959180152671752</v>
      </c>
      <c r="CD140" s="42">
        <f t="shared" si="132"/>
        <v>125706526</v>
      </c>
      <c r="CE140" s="42"/>
      <c r="CF140" s="42">
        <f>+'[3]NOVIEMBRE 2019'!$H$1070+'[3]NOVIEMBRE 2019'!$H$1118+'[3]NOVIEMBRE 2019'!$H$1152</f>
        <v>114870004</v>
      </c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>
        <f>+'[3]NOVIEMBRE 2019'!$H$1067-CF140</f>
        <v>10836522</v>
      </c>
      <c r="DB140" s="43">
        <f t="shared" si="139"/>
        <v>4.0408198473282475E-2</v>
      </c>
      <c r="DC140" s="42">
        <f t="shared" si="133"/>
        <v>5293474</v>
      </c>
      <c r="DD140" s="42">
        <f t="shared" si="147"/>
        <v>0</v>
      </c>
      <c r="DE140" s="42">
        <f t="shared" si="147"/>
        <v>129996</v>
      </c>
      <c r="DF140" s="42">
        <f t="shared" si="147"/>
        <v>0</v>
      </c>
      <c r="DG140" s="42">
        <f t="shared" si="147"/>
        <v>0</v>
      </c>
      <c r="DH140" s="42">
        <f t="shared" si="147"/>
        <v>0</v>
      </c>
      <c r="DI140" s="42">
        <f t="shared" si="147"/>
        <v>0</v>
      </c>
      <c r="DJ140" s="42">
        <f t="shared" si="147"/>
        <v>0</v>
      </c>
      <c r="DK140" s="42">
        <f t="shared" si="147"/>
        <v>0</v>
      </c>
      <c r="DL140" s="42">
        <f t="shared" si="147"/>
        <v>0</v>
      </c>
      <c r="DM140" s="42">
        <f t="shared" si="147"/>
        <v>0</v>
      </c>
      <c r="DN140" s="42">
        <f t="shared" si="147"/>
        <v>0</v>
      </c>
      <c r="DO140" s="42">
        <f t="shared" si="147"/>
        <v>0</v>
      </c>
      <c r="DP140" s="42">
        <f t="shared" si="147"/>
        <v>0</v>
      </c>
      <c r="DQ140" s="42">
        <f t="shared" si="147"/>
        <v>0</v>
      </c>
      <c r="DR140" s="42">
        <f t="shared" si="147"/>
        <v>0</v>
      </c>
      <c r="DS140" s="42">
        <f t="shared" si="147"/>
        <v>0</v>
      </c>
      <c r="DT140" s="42">
        <f t="shared" si="150"/>
        <v>0</v>
      </c>
      <c r="DU140" s="42">
        <f t="shared" si="150"/>
        <v>0</v>
      </c>
      <c r="DV140" s="42">
        <f t="shared" si="150"/>
        <v>0</v>
      </c>
      <c r="DW140" s="42">
        <f t="shared" si="148"/>
        <v>0</v>
      </c>
      <c r="DX140" s="42">
        <f t="shared" si="148"/>
        <v>0</v>
      </c>
      <c r="DY140" s="42"/>
      <c r="DZ140" s="42">
        <f t="shared" si="149"/>
        <v>5163478</v>
      </c>
      <c r="EB140" s="47">
        <f t="shared" si="140"/>
        <v>131000000</v>
      </c>
      <c r="EC140" s="47">
        <f t="shared" si="141"/>
        <v>131000000</v>
      </c>
      <c r="ED140" s="47">
        <f t="shared" si="142"/>
        <v>131000000</v>
      </c>
    </row>
    <row r="141" spans="1:136" ht="19.2" customHeight="1" x14ac:dyDescent="0.3">
      <c r="A141" s="152"/>
      <c r="B141" s="101"/>
      <c r="C141" s="78" t="s">
        <v>395</v>
      </c>
      <c r="D141" s="50" t="s">
        <v>396</v>
      </c>
      <c r="E141" s="142">
        <v>310</v>
      </c>
      <c r="F141" s="41" t="s">
        <v>302</v>
      </c>
      <c r="G141" s="42">
        <f t="shared" si="124"/>
        <v>35000000</v>
      </c>
      <c r="H141" s="42"/>
      <c r="I141" s="42">
        <f>35000000</f>
        <v>35000000</v>
      </c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3">
        <f t="shared" si="86"/>
        <v>1</v>
      </c>
      <c r="AF141" s="42">
        <f t="shared" si="125"/>
        <v>35000000</v>
      </c>
      <c r="AG141" s="42"/>
      <c r="AH141" s="42">
        <f>+'[12]JULIO 2019'!$K$685</f>
        <v>35000000</v>
      </c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3">
        <f t="shared" si="138"/>
        <v>0</v>
      </c>
      <c r="BE141" s="42">
        <f t="shared" si="126"/>
        <v>0</v>
      </c>
      <c r="BF141" s="42">
        <f t="shared" si="143"/>
        <v>0</v>
      </c>
      <c r="BG141" s="42">
        <f t="shared" si="143"/>
        <v>0</v>
      </c>
      <c r="BH141" s="42">
        <f t="shared" si="143"/>
        <v>0</v>
      </c>
      <c r="BI141" s="42">
        <f t="shared" si="128"/>
        <v>0</v>
      </c>
      <c r="BJ141" s="42">
        <f t="shared" si="144"/>
        <v>0</v>
      </c>
      <c r="BK141" s="42">
        <f t="shared" si="144"/>
        <v>0</v>
      </c>
      <c r="BL141" s="42">
        <f t="shared" si="144"/>
        <v>0</v>
      </c>
      <c r="BM141" s="42">
        <f t="shared" si="144"/>
        <v>0</v>
      </c>
      <c r="BN141" s="42">
        <f t="shared" si="144"/>
        <v>0</v>
      </c>
      <c r="BO141" s="42">
        <f t="shared" si="144"/>
        <v>0</v>
      </c>
      <c r="BP141" s="42">
        <f t="shared" si="144"/>
        <v>0</v>
      </c>
      <c r="BQ141" s="42">
        <f t="shared" si="144"/>
        <v>0</v>
      </c>
      <c r="BR141" s="42">
        <f t="shared" si="144"/>
        <v>0</v>
      </c>
      <c r="BS141" s="42">
        <f t="shared" si="144"/>
        <v>0</v>
      </c>
      <c r="BT141" s="42">
        <f t="shared" si="144"/>
        <v>0</v>
      </c>
      <c r="BU141" s="42">
        <f t="shared" si="144"/>
        <v>0</v>
      </c>
      <c r="BV141" s="42">
        <f t="shared" si="144"/>
        <v>0</v>
      </c>
      <c r="BW141" s="42">
        <f t="shared" si="144"/>
        <v>0</v>
      </c>
      <c r="BX141" s="42">
        <f t="shared" si="144"/>
        <v>0</v>
      </c>
      <c r="BY141" s="42">
        <f t="shared" si="144"/>
        <v>0</v>
      </c>
      <c r="BZ141" s="42">
        <f t="shared" si="145"/>
        <v>0</v>
      </c>
      <c r="CA141" s="42"/>
      <c r="CB141" s="42"/>
      <c r="CC141" s="43">
        <f>+CD141/G141</f>
        <v>0.96515977142857146</v>
      </c>
      <c r="CD141" s="42">
        <f t="shared" si="132"/>
        <v>33780592</v>
      </c>
      <c r="CE141" s="42"/>
      <c r="CF141" s="42">
        <f>+'[12]JULIO 2019'!$H$683</f>
        <v>33780592</v>
      </c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3">
        <f t="shared" si="139"/>
        <v>3.4840228571428544E-2</v>
      </c>
      <c r="DC141" s="42">
        <f t="shared" si="133"/>
        <v>1219408</v>
      </c>
      <c r="DD141" s="42">
        <f t="shared" si="147"/>
        <v>0</v>
      </c>
      <c r="DE141" s="42">
        <f t="shared" si="147"/>
        <v>1219408</v>
      </c>
      <c r="DF141" s="42">
        <f t="shared" si="147"/>
        <v>0</v>
      </c>
      <c r="DG141" s="42">
        <f t="shared" si="147"/>
        <v>0</v>
      </c>
      <c r="DH141" s="42">
        <f t="shared" si="147"/>
        <v>0</v>
      </c>
      <c r="DI141" s="42">
        <f t="shared" si="147"/>
        <v>0</v>
      </c>
      <c r="DJ141" s="42">
        <f t="shared" si="147"/>
        <v>0</v>
      </c>
      <c r="DK141" s="42">
        <f t="shared" si="147"/>
        <v>0</v>
      </c>
      <c r="DL141" s="42">
        <f t="shared" si="147"/>
        <v>0</v>
      </c>
      <c r="DM141" s="42">
        <f t="shared" si="147"/>
        <v>0</v>
      </c>
      <c r="DN141" s="42">
        <f t="shared" si="147"/>
        <v>0</v>
      </c>
      <c r="DO141" s="42">
        <f t="shared" si="147"/>
        <v>0</v>
      </c>
      <c r="DP141" s="42">
        <f t="shared" si="147"/>
        <v>0</v>
      </c>
      <c r="DQ141" s="42">
        <f t="shared" si="147"/>
        <v>0</v>
      </c>
      <c r="DR141" s="42">
        <f t="shared" si="147"/>
        <v>0</v>
      </c>
      <c r="DS141" s="42">
        <f t="shared" si="147"/>
        <v>0</v>
      </c>
      <c r="DT141" s="42">
        <f t="shared" si="150"/>
        <v>0</v>
      </c>
      <c r="DU141" s="42">
        <f t="shared" si="150"/>
        <v>0</v>
      </c>
      <c r="DV141" s="42">
        <f t="shared" si="150"/>
        <v>0</v>
      </c>
      <c r="DW141" s="42">
        <f t="shared" si="148"/>
        <v>0</v>
      </c>
      <c r="DX141" s="42">
        <f t="shared" si="148"/>
        <v>0</v>
      </c>
      <c r="DY141" s="42"/>
      <c r="DZ141" s="42"/>
      <c r="EB141" s="47">
        <f t="shared" si="140"/>
        <v>35000000</v>
      </c>
      <c r="EC141" s="47">
        <f t="shared" si="141"/>
        <v>35000000</v>
      </c>
      <c r="ED141" s="47">
        <f t="shared" si="142"/>
        <v>35000000</v>
      </c>
    </row>
    <row r="142" spans="1:136" s="73" customFormat="1" ht="20.25" customHeight="1" thickBot="1" x14ac:dyDescent="0.35">
      <c r="A142" s="153"/>
      <c r="B142" s="154" t="s">
        <v>397</v>
      </c>
      <c r="C142" s="155"/>
      <c r="D142" s="156"/>
      <c r="E142" s="157"/>
      <c r="F142" s="158"/>
      <c r="G142" s="92">
        <f t="shared" ref="G142:AD142" si="151">SUM(G122:G141)</f>
        <v>20745884228</v>
      </c>
      <c r="H142" s="92">
        <f t="shared" si="151"/>
        <v>0</v>
      </c>
      <c r="I142" s="92">
        <f t="shared" si="151"/>
        <v>812610598</v>
      </c>
      <c r="J142" s="92">
        <f t="shared" si="151"/>
        <v>0</v>
      </c>
      <c r="K142" s="92">
        <f t="shared" si="151"/>
        <v>1216000000</v>
      </c>
      <c r="L142" s="92">
        <f t="shared" si="151"/>
        <v>10500000000</v>
      </c>
      <c r="M142" s="92">
        <f t="shared" si="151"/>
        <v>0</v>
      </c>
      <c r="N142" s="92">
        <f t="shared" si="151"/>
        <v>0</v>
      </c>
      <c r="O142" s="92">
        <f t="shared" si="151"/>
        <v>2079799356</v>
      </c>
      <c r="P142" s="92">
        <f t="shared" si="151"/>
        <v>875630318</v>
      </c>
      <c r="Q142" s="92">
        <f t="shared" si="151"/>
        <v>838723421</v>
      </c>
      <c r="R142" s="92">
        <f t="shared" si="151"/>
        <v>692156723</v>
      </c>
      <c r="S142" s="92">
        <f t="shared" si="151"/>
        <v>0</v>
      </c>
      <c r="T142" s="92">
        <f t="shared" si="151"/>
        <v>121047242</v>
      </c>
      <c r="U142" s="92">
        <f t="shared" si="151"/>
        <v>65905320</v>
      </c>
      <c r="V142" s="92">
        <f t="shared" si="151"/>
        <v>227290061</v>
      </c>
      <c r="W142" s="92">
        <f t="shared" si="151"/>
        <v>70000000</v>
      </c>
      <c r="X142" s="92">
        <f t="shared" si="151"/>
        <v>347806613</v>
      </c>
      <c r="Y142" s="92">
        <f t="shared" si="151"/>
        <v>1544837929</v>
      </c>
      <c r="Z142" s="92">
        <f t="shared" si="151"/>
        <v>210178916</v>
      </c>
      <c r="AA142" s="92">
        <f t="shared" si="151"/>
        <v>0</v>
      </c>
      <c r="AB142" s="92">
        <f t="shared" si="151"/>
        <v>0</v>
      </c>
      <c r="AC142" s="92">
        <f t="shared" si="151"/>
        <v>364870888</v>
      </c>
      <c r="AD142" s="92">
        <f t="shared" si="151"/>
        <v>779026843</v>
      </c>
      <c r="AE142" s="71">
        <f t="shared" si="86"/>
        <v>0.45085278473578494</v>
      </c>
      <c r="AF142" s="92">
        <f t="shared" ref="AF142:BC142" si="152">SUM(AF122:AF141)</f>
        <v>9353339676</v>
      </c>
      <c r="AG142" s="92">
        <f t="shared" si="152"/>
        <v>0</v>
      </c>
      <c r="AH142" s="92">
        <f t="shared" si="152"/>
        <v>796610598</v>
      </c>
      <c r="AI142" s="92">
        <f t="shared" si="152"/>
        <v>0</v>
      </c>
      <c r="AJ142" s="92">
        <f t="shared" si="152"/>
        <v>1216000000</v>
      </c>
      <c r="AK142" s="92">
        <f t="shared" si="152"/>
        <v>0</v>
      </c>
      <c r="AL142" s="92">
        <f t="shared" si="152"/>
        <v>0</v>
      </c>
      <c r="AM142" s="92">
        <f t="shared" si="152"/>
        <v>0</v>
      </c>
      <c r="AN142" s="92">
        <f t="shared" si="152"/>
        <v>1947862242</v>
      </c>
      <c r="AO142" s="92">
        <f t="shared" si="152"/>
        <v>770286829</v>
      </c>
      <c r="AP142" s="92">
        <f t="shared" si="152"/>
        <v>741063144</v>
      </c>
      <c r="AQ142" s="92">
        <f t="shared" si="152"/>
        <v>613790277</v>
      </c>
      <c r="AR142" s="92">
        <f t="shared" si="152"/>
        <v>0</v>
      </c>
      <c r="AS142" s="92">
        <f t="shared" si="152"/>
        <v>45000000</v>
      </c>
      <c r="AT142" s="92">
        <f t="shared" si="152"/>
        <v>32413220</v>
      </c>
      <c r="AU142" s="92">
        <f t="shared" si="152"/>
        <v>204290061</v>
      </c>
      <c r="AV142" s="92">
        <f t="shared" si="152"/>
        <v>69955896</v>
      </c>
      <c r="AW142" s="92">
        <f t="shared" si="152"/>
        <v>341177754</v>
      </c>
      <c r="AX142" s="92">
        <f t="shared" si="152"/>
        <v>1476685961</v>
      </c>
      <c r="AY142" s="92">
        <f t="shared" si="152"/>
        <v>210177249</v>
      </c>
      <c r="AZ142" s="92">
        <f t="shared" si="152"/>
        <v>0</v>
      </c>
      <c r="BA142" s="92">
        <f t="shared" si="152"/>
        <v>0</v>
      </c>
      <c r="BB142" s="92">
        <f t="shared" si="152"/>
        <v>202962884</v>
      </c>
      <c r="BC142" s="92">
        <f t="shared" si="152"/>
        <v>685063561</v>
      </c>
      <c r="BD142" s="71">
        <f t="shared" si="138"/>
        <v>0.54914721526421506</v>
      </c>
      <c r="BE142" s="92">
        <f t="shared" ref="BE142:CB142" si="153">SUM(BE122:BE141)</f>
        <v>11392544552</v>
      </c>
      <c r="BF142" s="92">
        <f t="shared" si="153"/>
        <v>0</v>
      </c>
      <c r="BG142" s="92">
        <f t="shared" si="153"/>
        <v>16000000</v>
      </c>
      <c r="BH142" s="92">
        <f t="shared" si="153"/>
        <v>0</v>
      </c>
      <c r="BI142" s="92">
        <f t="shared" si="153"/>
        <v>0</v>
      </c>
      <c r="BJ142" s="92">
        <f t="shared" si="153"/>
        <v>10500000000</v>
      </c>
      <c r="BK142" s="92">
        <f t="shared" si="153"/>
        <v>0</v>
      </c>
      <c r="BL142" s="92">
        <f t="shared" si="153"/>
        <v>0</v>
      </c>
      <c r="BM142" s="92">
        <f t="shared" si="153"/>
        <v>131937114</v>
      </c>
      <c r="BN142" s="92">
        <f t="shared" si="153"/>
        <v>105343489</v>
      </c>
      <c r="BO142" s="92">
        <f t="shared" si="153"/>
        <v>97660277</v>
      </c>
      <c r="BP142" s="92">
        <f t="shared" si="153"/>
        <v>78366446</v>
      </c>
      <c r="BQ142" s="92">
        <f t="shared" si="153"/>
        <v>0</v>
      </c>
      <c r="BR142" s="92">
        <f t="shared" si="153"/>
        <v>76047242</v>
      </c>
      <c r="BS142" s="92">
        <f t="shared" si="153"/>
        <v>33492100</v>
      </c>
      <c r="BT142" s="92">
        <f t="shared" si="153"/>
        <v>23000000</v>
      </c>
      <c r="BU142" s="92">
        <f t="shared" si="153"/>
        <v>44104</v>
      </c>
      <c r="BV142" s="92">
        <f t="shared" si="153"/>
        <v>6628859</v>
      </c>
      <c r="BW142" s="92">
        <f t="shared" si="153"/>
        <v>68151968</v>
      </c>
      <c r="BX142" s="92">
        <f t="shared" si="153"/>
        <v>1667</v>
      </c>
      <c r="BY142" s="92">
        <f t="shared" si="153"/>
        <v>0</v>
      </c>
      <c r="BZ142" s="92">
        <f t="shared" si="153"/>
        <v>0</v>
      </c>
      <c r="CA142" s="92">
        <f t="shared" si="153"/>
        <v>161908004</v>
      </c>
      <c r="CB142" s="92">
        <f t="shared" si="153"/>
        <v>93963282</v>
      </c>
      <c r="CC142" s="71">
        <f>+CD142/G142</f>
        <v>0.38878151624475554</v>
      </c>
      <c r="CD142" s="92">
        <f>SUM(CD122:CD141)</f>
        <v>8065616326</v>
      </c>
      <c r="CE142" s="92">
        <f>SUM(CE122:CE141)</f>
        <v>0</v>
      </c>
      <c r="CF142" s="92">
        <f>SUM(CF122:CF141)</f>
        <v>794474091</v>
      </c>
      <c r="CG142" s="92">
        <f>SUM(CG122:CG141)</f>
        <v>0</v>
      </c>
      <c r="CH142" s="92">
        <f>SUM(CG122:CG141)</f>
        <v>0</v>
      </c>
      <c r="CI142" s="92">
        <f t="shared" ref="CI142:DA142" si="154">SUM(CI122:CI141)</f>
        <v>0</v>
      </c>
      <c r="CJ142" s="92">
        <f t="shared" si="154"/>
        <v>0</v>
      </c>
      <c r="CK142" s="92">
        <f t="shared" si="154"/>
        <v>0</v>
      </c>
      <c r="CL142" s="92">
        <f t="shared" si="154"/>
        <v>1662504706</v>
      </c>
      <c r="CM142" s="92">
        <f t="shared" si="154"/>
        <v>531286829</v>
      </c>
      <c r="CN142" s="92">
        <f t="shared" si="154"/>
        <v>640884463</v>
      </c>
      <c r="CO142" s="92">
        <f t="shared" si="154"/>
        <v>613790277</v>
      </c>
      <c r="CP142" s="92">
        <f t="shared" si="154"/>
        <v>0</v>
      </c>
      <c r="CQ142" s="92">
        <f t="shared" si="154"/>
        <v>0</v>
      </c>
      <c r="CR142" s="92">
        <f t="shared" si="154"/>
        <v>3567404</v>
      </c>
      <c r="CS142" s="92">
        <f t="shared" si="154"/>
        <v>204290061</v>
      </c>
      <c r="CT142" s="92">
        <f t="shared" si="154"/>
        <v>48980841</v>
      </c>
      <c r="CU142" s="92">
        <f t="shared" si="154"/>
        <v>340075814</v>
      </c>
      <c r="CV142" s="92">
        <f t="shared" si="154"/>
        <v>1461684487</v>
      </c>
      <c r="CW142" s="92">
        <f t="shared" si="154"/>
        <v>208708333</v>
      </c>
      <c r="CX142" s="92">
        <f t="shared" si="154"/>
        <v>0</v>
      </c>
      <c r="CY142" s="92">
        <f t="shared" si="154"/>
        <v>0</v>
      </c>
      <c r="CZ142" s="92">
        <f t="shared" si="154"/>
        <v>144299911</v>
      </c>
      <c r="DA142" s="92">
        <f t="shared" si="154"/>
        <v>546116473</v>
      </c>
      <c r="DB142" s="71">
        <f t="shared" si="139"/>
        <v>0.61121848375524446</v>
      </c>
      <c r="DC142" s="92">
        <f t="shared" ref="DC142:DZ142" si="155">SUM(DC122:DC141)</f>
        <v>12680267902</v>
      </c>
      <c r="DD142" s="92">
        <f t="shared" si="155"/>
        <v>0</v>
      </c>
      <c r="DE142" s="92">
        <f t="shared" si="155"/>
        <v>18136507</v>
      </c>
      <c r="DF142" s="92">
        <f t="shared" si="155"/>
        <v>0</v>
      </c>
      <c r="DG142" s="92">
        <f t="shared" si="155"/>
        <v>351047364</v>
      </c>
      <c r="DH142" s="92">
        <f t="shared" si="155"/>
        <v>10500000000</v>
      </c>
      <c r="DI142" s="92">
        <f t="shared" si="155"/>
        <v>0</v>
      </c>
      <c r="DJ142" s="92">
        <f t="shared" si="155"/>
        <v>0</v>
      </c>
      <c r="DK142" s="92">
        <f t="shared" si="155"/>
        <v>417294650</v>
      </c>
      <c r="DL142" s="92">
        <f t="shared" si="155"/>
        <v>344343489</v>
      </c>
      <c r="DM142" s="92">
        <f t="shared" si="155"/>
        <v>197838958</v>
      </c>
      <c r="DN142" s="92">
        <f t="shared" si="155"/>
        <v>78366446</v>
      </c>
      <c r="DO142" s="92">
        <f t="shared" si="155"/>
        <v>0</v>
      </c>
      <c r="DP142" s="92">
        <f t="shared" si="155"/>
        <v>121047242</v>
      </c>
      <c r="DQ142" s="92">
        <f t="shared" si="155"/>
        <v>62337916</v>
      </c>
      <c r="DR142" s="92">
        <f t="shared" si="155"/>
        <v>23000000</v>
      </c>
      <c r="DS142" s="92">
        <f t="shared" si="155"/>
        <v>21019159</v>
      </c>
      <c r="DT142" s="92">
        <f t="shared" si="155"/>
        <v>7730799</v>
      </c>
      <c r="DU142" s="92">
        <f t="shared" si="155"/>
        <v>83153442</v>
      </c>
      <c r="DV142" s="92">
        <f t="shared" si="155"/>
        <v>1470583</v>
      </c>
      <c r="DW142" s="92">
        <f t="shared" si="155"/>
        <v>0</v>
      </c>
      <c r="DX142" s="92">
        <f t="shared" si="155"/>
        <v>0</v>
      </c>
      <c r="DY142" s="92">
        <f t="shared" si="155"/>
        <v>220570977</v>
      </c>
      <c r="DZ142" s="92">
        <f t="shared" si="155"/>
        <v>232910370</v>
      </c>
      <c r="EB142" s="47">
        <f t="shared" si="140"/>
        <v>20745884228</v>
      </c>
      <c r="EC142" s="47">
        <f t="shared" si="141"/>
        <v>20745884228</v>
      </c>
      <c r="ED142" s="47">
        <f t="shared" si="142"/>
        <v>20745884228</v>
      </c>
      <c r="EE142" s="74"/>
    </row>
    <row r="143" spans="1:136" ht="5.25" customHeight="1" thickTop="1" x14ac:dyDescent="0.3">
      <c r="C143" s="159"/>
      <c r="D143" s="159"/>
      <c r="E143" s="159"/>
      <c r="F143" s="159"/>
      <c r="G143" s="160"/>
      <c r="H143" s="160"/>
      <c r="I143" s="161"/>
      <c r="J143" s="160"/>
      <c r="K143" s="160"/>
      <c r="L143" s="160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/>
      <c r="W143" s="162"/>
      <c r="X143" s="162"/>
      <c r="Y143" s="162"/>
      <c r="Z143" s="162"/>
      <c r="AA143" s="162"/>
      <c r="AB143" s="162"/>
      <c r="AC143" s="162"/>
      <c r="AD143" s="162"/>
      <c r="AE143" s="163"/>
      <c r="AF143" s="164"/>
      <c r="AG143" s="164"/>
      <c r="AH143" s="164"/>
      <c r="AI143" s="164"/>
      <c r="AJ143" s="164"/>
      <c r="AK143" s="164"/>
      <c r="AL143" s="164"/>
      <c r="AM143" s="164"/>
      <c r="AN143" s="164"/>
      <c r="AO143" s="164"/>
      <c r="AP143" s="164"/>
      <c r="AQ143" s="164"/>
      <c r="AR143" s="164"/>
      <c r="AS143" s="164"/>
      <c r="AT143" s="164"/>
      <c r="AU143" s="164"/>
      <c r="AV143" s="164"/>
      <c r="AW143" s="164"/>
      <c r="AX143" s="164"/>
      <c r="AY143" s="164"/>
      <c r="AZ143" s="164"/>
      <c r="BA143" s="164"/>
      <c r="BB143" s="164"/>
      <c r="BC143" s="164"/>
      <c r="BD143" s="163"/>
      <c r="BE143" s="164"/>
      <c r="BF143" s="164"/>
      <c r="BG143" s="164"/>
      <c r="BH143" s="164"/>
      <c r="BI143" s="164"/>
      <c r="BJ143" s="164"/>
      <c r="BK143" s="164"/>
      <c r="BL143" s="164"/>
      <c r="BM143" s="164"/>
      <c r="BN143" s="164"/>
      <c r="BO143" s="164"/>
      <c r="BP143" s="164"/>
      <c r="BQ143" s="164"/>
      <c r="BR143" s="164"/>
      <c r="BS143" s="164"/>
      <c r="BT143" s="164"/>
      <c r="BU143" s="164"/>
      <c r="BV143" s="164"/>
      <c r="BW143" s="164"/>
      <c r="BX143" s="164"/>
      <c r="BY143" s="164"/>
      <c r="BZ143" s="164"/>
      <c r="CA143" s="164"/>
      <c r="CB143" s="164"/>
      <c r="CC143" s="163"/>
      <c r="CD143" s="165"/>
      <c r="CE143" s="164"/>
      <c r="CF143" s="164"/>
      <c r="CG143" s="164"/>
      <c r="CH143" s="164"/>
      <c r="CI143" s="164"/>
      <c r="CJ143" s="164"/>
      <c r="CK143" s="164"/>
      <c r="CL143" s="164"/>
      <c r="CM143" s="164"/>
      <c r="CN143" s="164"/>
      <c r="CO143" s="164"/>
      <c r="CP143" s="164"/>
      <c r="CQ143" s="164"/>
      <c r="CR143" s="164"/>
      <c r="CS143" s="164"/>
      <c r="CT143" s="164"/>
      <c r="CU143" s="164"/>
      <c r="CV143" s="164"/>
      <c r="CW143" s="164"/>
      <c r="CX143" s="164"/>
      <c r="CY143" s="164"/>
      <c r="CZ143" s="164"/>
      <c r="DA143" s="164"/>
      <c r="DB143" s="163"/>
      <c r="DC143" s="164"/>
      <c r="DD143" s="164"/>
      <c r="DE143" s="164"/>
      <c r="DF143" s="164"/>
      <c r="DG143" s="164"/>
      <c r="DH143" s="164"/>
      <c r="DI143" s="164"/>
      <c r="DJ143" s="164"/>
      <c r="DK143" s="164"/>
      <c r="DL143" s="164"/>
      <c r="DM143" s="164"/>
      <c r="DN143" s="164"/>
      <c r="DO143" s="164"/>
      <c r="DP143" s="164"/>
      <c r="DQ143" s="164"/>
      <c r="DR143" s="164"/>
      <c r="DS143" s="164"/>
      <c r="DT143" s="164"/>
      <c r="DU143" s="164"/>
      <c r="DV143" s="164"/>
      <c r="DW143" s="164"/>
      <c r="DX143" s="164"/>
      <c r="DY143" s="164"/>
      <c r="DZ143" s="164"/>
      <c r="EB143" s="47"/>
      <c r="EC143" s="47"/>
      <c r="ED143" s="47"/>
    </row>
    <row r="144" spans="1:136" ht="19.5" customHeight="1" x14ac:dyDescent="0.3">
      <c r="C144" s="166" t="s">
        <v>398</v>
      </c>
      <c r="D144" s="167"/>
      <c r="E144" s="168"/>
      <c r="F144" s="169"/>
      <c r="G144" s="164">
        <f t="shared" ref="G144:AD144" si="156">G39+G80+G104+G121+G142</f>
        <v>42445623888</v>
      </c>
      <c r="H144" s="164">
        <f t="shared" si="156"/>
        <v>467762013</v>
      </c>
      <c r="I144" s="164">
        <f t="shared" si="156"/>
        <v>2969410598</v>
      </c>
      <c r="J144" s="164">
        <f t="shared" si="156"/>
        <v>80644090</v>
      </c>
      <c r="K144" s="164">
        <f t="shared" si="156"/>
        <v>2311816144</v>
      </c>
      <c r="L144" s="164">
        <f t="shared" si="156"/>
        <v>10500000000</v>
      </c>
      <c r="M144" s="164">
        <f t="shared" si="156"/>
        <v>208000000</v>
      </c>
      <c r="N144" s="164">
        <f t="shared" si="156"/>
        <v>244096406</v>
      </c>
      <c r="O144" s="164">
        <f t="shared" si="156"/>
        <v>4798861038</v>
      </c>
      <c r="P144" s="164">
        <f t="shared" si="156"/>
        <v>986590852</v>
      </c>
      <c r="Q144" s="164">
        <f t="shared" si="156"/>
        <v>899683955</v>
      </c>
      <c r="R144" s="164">
        <f t="shared" si="156"/>
        <v>833117257</v>
      </c>
      <c r="S144" s="164">
        <f t="shared" si="156"/>
        <v>797458202</v>
      </c>
      <c r="T144" s="164">
        <f t="shared" si="156"/>
        <v>151047242</v>
      </c>
      <c r="U144" s="164">
        <f t="shared" si="156"/>
        <v>177491556</v>
      </c>
      <c r="V144" s="164">
        <f t="shared" si="156"/>
        <v>247290061</v>
      </c>
      <c r="W144" s="164">
        <f t="shared" si="156"/>
        <v>5673269814</v>
      </c>
      <c r="X144" s="164">
        <f t="shared" si="156"/>
        <v>1161806613</v>
      </c>
      <c r="Y144" s="164">
        <f t="shared" si="156"/>
        <v>1841680997</v>
      </c>
      <c r="Z144" s="164">
        <f t="shared" si="156"/>
        <v>1651021615</v>
      </c>
      <c r="AA144" s="164">
        <f t="shared" si="156"/>
        <v>1770728185</v>
      </c>
      <c r="AB144" s="164">
        <f t="shared" si="156"/>
        <v>453752865</v>
      </c>
      <c r="AC144" s="164">
        <f t="shared" si="156"/>
        <v>1337681906</v>
      </c>
      <c r="AD144" s="164">
        <f t="shared" si="156"/>
        <v>2882412479</v>
      </c>
      <c r="AE144" s="170">
        <f>+AF144/G144</f>
        <v>0.61760751561037341</v>
      </c>
      <c r="AF144" s="164">
        <f t="shared" ref="AF144:BC144" si="157">AF39+AF80+AF104+AF121+AF142</f>
        <v>26214736318</v>
      </c>
      <c r="AG144" s="164">
        <f t="shared" si="157"/>
        <v>443770850</v>
      </c>
      <c r="AH144" s="111">
        <f t="shared" si="157"/>
        <v>2850818327</v>
      </c>
      <c r="AI144" s="111">
        <f t="shared" si="157"/>
        <v>76644090</v>
      </c>
      <c r="AJ144" s="111">
        <f t="shared" si="157"/>
        <v>1216000000</v>
      </c>
      <c r="AK144" s="111">
        <f t="shared" si="157"/>
        <v>0</v>
      </c>
      <c r="AL144" s="111">
        <f t="shared" si="157"/>
        <v>200411327</v>
      </c>
      <c r="AM144" s="164">
        <f t="shared" si="157"/>
        <v>244096406</v>
      </c>
      <c r="AN144" s="164">
        <f t="shared" si="157"/>
        <v>4340702597</v>
      </c>
      <c r="AO144" s="164">
        <f t="shared" si="157"/>
        <v>823486829</v>
      </c>
      <c r="AP144" s="164">
        <f t="shared" si="157"/>
        <v>779046810</v>
      </c>
      <c r="AQ144" s="164">
        <f t="shared" si="157"/>
        <v>660796216</v>
      </c>
      <c r="AR144" s="164">
        <f t="shared" si="157"/>
        <v>751646051</v>
      </c>
      <c r="AS144" s="164">
        <f t="shared" si="157"/>
        <v>47114681</v>
      </c>
      <c r="AT144" s="164">
        <f t="shared" si="157"/>
        <v>42890459</v>
      </c>
      <c r="AU144" s="164">
        <f t="shared" si="157"/>
        <v>207058580</v>
      </c>
      <c r="AV144" s="164">
        <f t="shared" si="157"/>
        <v>3036232281</v>
      </c>
      <c r="AW144" s="164">
        <f t="shared" si="157"/>
        <v>1073838980</v>
      </c>
      <c r="AX144" s="164">
        <f t="shared" si="157"/>
        <v>1733557774</v>
      </c>
      <c r="AY144" s="164">
        <f t="shared" si="157"/>
        <v>1349729681</v>
      </c>
      <c r="AZ144" s="164">
        <f t="shared" si="157"/>
        <v>1757659170</v>
      </c>
      <c r="BA144" s="164">
        <f t="shared" si="157"/>
        <v>285623667</v>
      </c>
      <c r="BB144" s="164">
        <f t="shared" si="157"/>
        <v>784292884</v>
      </c>
      <c r="BC144" s="164">
        <f t="shared" si="157"/>
        <v>2413502514</v>
      </c>
      <c r="BD144" s="171">
        <f>1-AE144</f>
        <v>0.38239248438962659</v>
      </c>
      <c r="BE144" s="164">
        <f t="shared" ref="BE144:CB144" si="158">BE39+BE80+BE104+BE121+BE142</f>
        <v>16230887570</v>
      </c>
      <c r="BF144" s="164">
        <f t="shared" si="158"/>
        <v>23991163</v>
      </c>
      <c r="BG144" s="111">
        <f t="shared" si="158"/>
        <v>118592271</v>
      </c>
      <c r="BH144" s="111">
        <f t="shared" si="158"/>
        <v>4000000</v>
      </c>
      <c r="BI144" s="111">
        <f t="shared" si="158"/>
        <v>0</v>
      </c>
      <c r="BJ144" s="111">
        <f t="shared" si="158"/>
        <v>10500000000</v>
      </c>
      <c r="BK144" s="111">
        <f t="shared" si="158"/>
        <v>7588673</v>
      </c>
      <c r="BL144" s="164">
        <f t="shared" si="158"/>
        <v>0</v>
      </c>
      <c r="BM144" s="164">
        <f t="shared" si="158"/>
        <v>458158441</v>
      </c>
      <c r="BN144" s="164">
        <f t="shared" si="158"/>
        <v>163104023</v>
      </c>
      <c r="BO144" s="164">
        <f t="shared" si="158"/>
        <v>120637145</v>
      </c>
      <c r="BP144" s="164">
        <f t="shared" si="158"/>
        <v>172321041</v>
      </c>
      <c r="BQ144" s="164">
        <f t="shared" si="158"/>
        <v>45812151</v>
      </c>
      <c r="BR144" s="164">
        <f t="shared" si="158"/>
        <v>103932561</v>
      </c>
      <c r="BS144" s="164">
        <f t="shared" si="158"/>
        <v>134601097</v>
      </c>
      <c r="BT144" s="164">
        <f t="shared" si="158"/>
        <v>40231481</v>
      </c>
      <c r="BU144" s="164">
        <f t="shared" si="158"/>
        <v>2637037533</v>
      </c>
      <c r="BV144" s="164">
        <f t="shared" si="158"/>
        <v>87967633</v>
      </c>
      <c r="BW144" s="164">
        <f t="shared" si="158"/>
        <v>108123223</v>
      </c>
      <c r="BX144" s="164">
        <f t="shared" si="158"/>
        <v>301291934</v>
      </c>
      <c r="BY144" s="164">
        <f t="shared" si="158"/>
        <v>13069015</v>
      </c>
      <c r="BZ144" s="164">
        <f t="shared" si="158"/>
        <v>168129198</v>
      </c>
      <c r="CA144" s="164">
        <f t="shared" si="158"/>
        <v>553389022</v>
      </c>
      <c r="CB144" s="164">
        <f t="shared" si="158"/>
        <v>468909965</v>
      </c>
      <c r="CC144" s="171">
        <f>+CD144/G144</f>
        <v>0.5057268692443162</v>
      </c>
      <c r="CD144" s="164">
        <f>CD39+CD80+CD104+CD121+CD142</f>
        <v>21465892482</v>
      </c>
      <c r="CE144" s="164">
        <f>CE39+CE80+CE104+CE121+CE142</f>
        <v>443770850</v>
      </c>
      <c r="CF144" s="164">
        <f>CF39+CF80+CF104+CF121+CF142</f>
        <v>2675814558</v>
      </c>
      <c r="CG144" s="164">
        <f>CG39+CG80+CG104+CG121+CH142</f>
        <v>34615897</v>
      </c>
      <c r="CH144" s="164">
        <f>CH39+CH80+CH104+CH121+CI142</f>
        <v>155239307</v>
      </c>
      <c r="CI144" s="164">
        <f t="shared" ref="CI144:DA144" si="159">CI39+CI80+CI104+CI121+CI142</f>
        <v>0</v>
      </c>
      <c r="CJ144" s="164">
        <f t="shared" si="159"/>
        <v>205876669</v>
      </c>
      <c r="CK144" s="164">
        <f t="shared" si="159"/>
        <v>236438964</v>
      </c>
      <c r="CL144" s="164">
        <f t="shared" si="159"/>
        <v>3549144173</v>
      </c>
      <c r="CM144" s="164">
        <f t="shared" si="159"/>
        <v>534486829</v>
      </c>
      <c r="CN144" s="164">
        <f t="shared" si="159"/>
        <v>678868129</v>
      </c>
      <c r="CO144" s="164">
        <f t="shared" si="159"/>
        <v>618655536</v>
      </c>
      <c r="CP144" s="164">
        <f t="shared" si="159"/>
        <v>580180670</v>
      </c>
      <c r="CQ144" s="164">
        <f t="shared" si="159"/>
        <v>2114681</v>
      </c>
      <c r="CR144" s="164">
        <f t="shared" si="159"/>
        <v>13820090</v>
      </c>
      <c r="CS144" s="164">
        <f t="shared" si="159"/>
        <v>207058580</v>
      </c>
      <c r="CT144" s="164">
        <f t="shared" si="159"/>
        <v>2238762115</v>
      </c>
      <c r="CU144" s="164">
        <f t="shared" si="159"/>
        <v>996095284</v>
      </c>
      <c r="CV144" s="164">
        <f t="shared" si="159"/>
        <v>1655192977</v>
      </c>
      <c r="CW144" s="164">
        <f t="shared" si="159"/>
        <v>1049536123</v>
      </c>
      <c r="CX144" s="164">
        <f t="shared" si="159"/>
        <v>1717036386</v>
      </c>
      <c r="CY144" s="164">
        <f t="shared" si="159"/>
        <v>225553524</v>
      </c>
      <c r="CZ144" s="164">
        <f t="shared" si="159"/>
        <v>611344094</v>
      </c>
      <c r="DA144" s="164">
        <f t="shared" si="159"/>
        <v>2039324867</v>
      </c>
      <c r="DB144" s="43">
        <f>1-CC144</f>
        <v>0.4942731307556838</v>
      </c>
      <c r="DC144" s="164">
        <f t="shared" ref="DC144:DZ144" si="160">DC39+DC80+DC104+DC121+DC142</f>
        <v>20979731406</v>
      </c>
      <c r="DD144" s="164">
        <f t="shared" si="160"/>
        <v>23991163</v>
      </c>
      <c r="DE144" s="164">
        <f t="shared" si="160"/>
        <v>293596040</v>
      </c>
      <c r="DF144" s="164">
        <f t="shared" si="160"/>
        <v>46028193</v>
      </c>
      <c r="DG144" s="164">
        <f t="shared" si="160"/>
        <v>1159614658</v>
      </c>
      <c r="DH144" s="164">
        <f t="shared" si="160"/>
        <v>10500000000</v>
      </c>
      <c r="DI144" s="164">
        <f t="shared" si="160"/>
        <v>2123331</v>
      </c>
      <c r="DJ144" s="164">
        <f t="shared" si="160"/>
        <v>7657442</v>
      </c>
      <c r="DK144" s="164">
        <f t="shared" si="160"/>
        <v>1249716865</v>
      </c>
      <c r="DL144" s="164">
        <f t="shared" si="160"/>
        <v>452104023</v>
      </c>
      <c r="DM144" s="164">
        <f t="shared" si="160"/>
        <v>220815826</v>
      </c>
      <c r="DN144" s="164">
        <f t="shared" si="160"/>
        <v>214461721</v>
      </c>
      <c r="DO144" s="164">
        <f t="shared" si="160"/>
        <v>217277532</v>
      </c>
      <c r="DP144" s="164">
        <f t="shared" si="160"/>
        <v>148932561</v>
      </c>
      <c r="DQ144" s="164">
        <f t="shared" si="160"/>
        <v>163671466</v>
      </c>
      <c r="DR144" s="164">
        <f t="shared" si="160"/>
        <v>40231481</v>
      </c>
      <c r="DS144" s="164">
        <f t="shared" si="160"/>
        <v>3434507699</v>
      </c>
      <c r="DT144" s="164">
        <f t="shared" si="160"/>
        <v>165711329</v>
      </c>
      <c r="DU144" s="164">
        <f t="shared" si="160"/>
        <v>186488020</v>
      </c>
      <c r="DV144" s="164">
        <f t="shared" si="160"/>
        <v>601485492</v>
      </c>
      <c r="DW144" s="164">
        <f t="shared" si="160"/>
        <v>53691799</v>
      </c>
      <c r="DX144" s="164">
        <f t="shared" si="160"/>
        <v>228199341</v>
      </c>
      <c r="DY144" s="164">
        <f t="shared" si="160"/>
        <v>726337812</v>
      </c>
      <c r="DZ144" s="164">
        <f t="shared" si="160"/>
        <v>843087612</v>
      </c>
      <c r="EB144" s="47">
        <f>+G144</f>
        <v>42445623888</v>
      </c>
      <c r="EC144" s="47">
        <f>+AF144+BE144</f>
        <v>42445623888</v>
      </c>
      <c r="ED144" s="47">
        <f>+CD144+DC144</f>
        <v>42445623888</v>
      </c>
      <c r="EF144" s="63"/>
    </row>
    <row r="145" spans="3:136" ht="5.25" customHeight="1" x14ac:dyDescent="0.3">
      <c r="C145" s="172"/>
      <c r="D145" s="172"/>
      <c r="E145" s="173"/>
      <c r="F145" s="173"/>
      <c r="G145" s="174"/>
      <c r="H145" s="174"/>
      <c r="I145" s="175"/>
      <c r="J145" s="174"/>
      <c r="K145" s="174"/>
      <c r="L145" s="174"/>
      <c r="M145" s="176"/>
      <c r="N145" s="176"/>
      <c r="O145" s="176"/>
      <c r="P145" s="176"/>
      <c r="Q145" s="176"/>
      <c r="R145" s="176"/>
      <c r="S145" s="176"/>
      <c r="T145" s="176"/>
      <c r="U145" s="176"/>
      <c r="V145" s="176"/>
      <c r="W145" s="176"/>
      <c r="X145" s="176"/>
      <c r="Y145" s="176"/>
      <c r="Z145" s="176"/>
      <c r="AA145" s="176"/>
      <c r="AB145" s="176"/>
      <c r="AC145" s="176"/>
      <c r="AD145" s="176"/>
      <c r="AE145" s="177"/>
      <c r="AF145" s="178"/>
      <c r="AG145" s="178"/>
      <c r="AH145" s="178"/>
      <c r="AI145" s="178"/>
      <c r="AJ145" s="178"/>
      <c r="AK145" s="178"/>
      <c r="AL145" s="178"/>
      <c r="AM145" s="178"/>
      <c r="AN145" s="176"/>
      <c r="AO145" s="176"/>
      <c r="AP145" s="176"/>
      <c r="AQ145" s="176"/>
      <c r="AR145" s="176"/>
      <c r="AS145" s="176"/>
      <c r="AT145" s="176"/>
      <c r="AU145" s="176"/>
      <c r="AV145" s="176"/>
      <c r="AW145" s="176"/>
      <c r="AX145" s="176"/>
      <c r="AY145" s="176"/>
      <c r="AZ145" s="176"/>
      <c r="BA145" s="176"/>
      <c r="BB145" s="176"/>
      <c r="BC145" s="176"/>
      <c r="BD145" s="177"/>
      <c r="BE145" s="178"/>
      <c r="BF145" s="178"/>
      <c r="BG145" s="178"/>
      <c r="BH145" s="178"/>
      <c r="BI145" s="178"/>
      <c r="BJ145" s="178"/>
      <c r="BK145" s="178"/>
      <c r="BL145" s="179"/>
      <c r="BM145" s="179"/>
      <c r="BN145" s="179"/>
      <c r="BO145" s="179"/>
      <c r="BP145" s="179"/>
      <c r="BQ145" s="179"/>
      <c r="BR145" s="179"/>
      <c r="BS145" s="179"/>
      <c r="BT145" s="179"/>
      <c r="BU145" s="179"/>
      <c r="BV145" s="179"/>
      <c r="BW145" s="179"/>
      <c r="BX145" s="179"/>
      <c r="BY145" s="179"/>
      <c r="BZ145" s="179"/>
      <c r="CA145" s="179"/>
      <c r="CB145" s="179"/>
      <c r="CC145" s="177"/>
      <c r="CD145" s="180"/>
      <c r="CE145" s="181"/>
      <c r="CF145" s="181"/>
      <c r="CG145" s="181"/>
      <c r="CH145" s="181"/>
      <c r="CI145" s="181"/>
      <c r="CJ145" s="181"/>
      <c r="CK145" s="176"/>
      <c r="CL145" s="176"/>
      <c r="CM145" s="176"/>
      <c r="CN145" s="176"/>
      <c r="CO145" s="176"/>
      <c r="CP145" s="176"/>
      <c r="CQ145" s="176"/>
      <c r="CR145" s="176"/>
      <c r="CS145" s="176"/>
      <c r="CT145" s="176"/>
      <c r="CU145" s="176"/>
      <c r="CV145" s="176"/>
      <c r="CW145" s="176"/>
      <c r="CX145" s="176"/>
      <c r="CY145" s="176"/>
      <c r="CZ145" s="176"/>
      <c r="DA145" s="176"/>
      <c r="DB145" s="43"/>
      <c r="DC145" s="182"/>
      <c r="DD145" s="178"/>
      <c r="DE145" s="178"/>
      <c r="DF145" s="178"/>
      <c r="DG145" s="178"/>
      <c r="DH145" s="178"/>
      <c r="DI145" s="178"/>
      <c r="DJ145" s="179"/>
      <c r="DK145" s="179"/>
      <c r="DL145" s="179"/>
      <c r="DM145" s="179"/>
      <c r="DN145" s="179"/>
      <c r="DO145" s="179"/>
      <c r="DP145" s="179"/>
      <c r="DQ145" s="179"/>
      <c r="DR145" s="179"/>
      <c r="DS145" s="179"/>
      <c r="DT145" s="179"/>
      <c r="DU145" s="179"/>
      <c r="DV145" s="179"/>
      <c r="DW145" s="179"/>
      <c r="DX145" s="179"/>
      <c r="DY145" s="179"/>
      <c r="DZ145" s="179"/>
      <c r="EB145" s="47"/>
      <c r="EC145" s="47"/>
      <c r="ED145" s="47"/>
    </row>
    <row r="146" spans="3:136" ht="16.5" customHeight="1" x14ac:dyDescent="0.3">
      <c r="C146" s="183"/>
      <c r="D146" s="184" t="s">
        <v>399</v>
      </c>
      <c r="E146" s="177">
        <v>111</v>
      </c>
      <c r="F146" s="185"/>
      <c r="G146" s="186">
        <f>SUMIF($E$4:$E$141,"111",$G$4:$G$141)</f>
        <v>13043802420</v>
      </c>
      <c r="H146" s="187">
        <f>SUMIF($E$4:$E$142,"111",$H$4:$H$142)</f>
        <v>0</v>
      </c>
      <c r="I146" s="187">
        <f>SUMIF($E$4:$E$142,"111",$I$4:$I$142)</f>
        <v>0</v>
      </c>
      <c r="J146" s="187">
        <f>SUMIF($E$4:$E$142,"111",$J$4:$J$142)</f>
        <v>0</v>
      </c>
      <c r="K146" s="187">
        <f>SUMIF($E$4:$E$142,"111",$K$4:$K$142)</f>
        <v>0</v>
      </c>
      <c r="L146" s="186">
        <f>SUMIF($E$4:$E$141,"111",$L$4:$L$141)</f>
        <v>10500000000</v>
      </c>
      <c r="M146" s="185">
        <f>SUMIF($E$4:$E$142,"111",$M$4:$M$142)</f>
        <v>0</v>
      </c>
      <c r="N146" s="185">
        <f>SUMIF($E$4:$E$141,"111",$N$4:$N$141)</f>
        <v>0</v>
      </c>
      <c r="O146" s="185">
        <f>SUMIF($E$4:$E$141,"111",$O$4:$O$141)</f>
        <v>473013719</v>
      </c>
      <c r="P146" s="185">
        <f>SUMIF($E$4:$E$141,"111",$P$4:$P$141)</f>
        <v>216000000</v>
      </c>
      <c r="Q146" s="185">
        <f>SUMIF($E$4:$E$141,"111",$Q$4:$Q$141)</f>
        <v>288923121</v>
      </c>
      <c r="R146" s="185">
        <f>SUMIF($E$4:$E$141,"111",$R$4:$R$141)</f>
        <v>561370228</v>
      </c>
      <c r="S146" s="185">
        <f>SUMIF($E$4:$E$141,"111",$S$4:$S$141)</f>
        <v>0</v>
      </c>
      <c r="T146" s="185">
        <f>SUMIF($E$4:$E$141,"111",$T$4:$T$141)</f>
        <v>71047242</v>
      </c>
      <c r="U146" s="185">
        <f>SUMIF($E$4:$E$141,"111",$U$4:$U$141)</f>
        <v>5000000</v>
      </c>
      <c r="V146" s="185">
        <f>SUMIF($E$4:$E$141,"111",$V$4:$V$141)</f>
        <v>55159883</v>
      </c>
      <c r="W146" s="185">
        <f>SUMIF($E$4:$E$141,"111",$W$4:$W$141)</f>
        <v>20000000</v>
      </c>
      <c r="X146" s="185">
        <f>SUMIF($E$4:$E$141,"111",$X$4:$X$141)</f>
        <v>0</v>
      </c>
      <c r="Y146" s="185">
        <f>SUMIF($E$4:$E$141,"111",$Y$4:$Y$141)</f>
        <v>595237929</v>
      </c>
      <c r="Z146" s="185">
        <f>SUMIF($E$4:$E$141,"111",$Z$4:$Z$141)</f>
        <v>0</v>
      </c>
      <c r="AA146" s="185">
        <f>SUMIF($E$4:$E$141,"111",$AA$4:$AA$141)</f>
        <v>0</v>
      </c>
      <c r="AB146" s="185">
        <f>SUMIF($E$4:$E$141,"111",$AA$4:$AA$141)</f>
        <v>0</v>
      </c>
      <c r="AC146" s="185">
        <f>SUMIF($E$4:$E$141,"111",$AC$4:$AC$141)</f>
        <v>123846638</v>
      </c>
      <c r="AD146" s="185">
        <f>SUMIF($E$4:$E$141,"111",$AD$4:$AD$141)</f>
        <v>134203660</v>
      </c>
      <c r="AE146" s="188">
        <f t="shared" ref="AE146:AE153" si="161">+AF146/G146</f>
        <v>0.1588944060377756</v>
      </c>
      <c r="AF146" s="186">
        <f>SUMIF($E$4:$E$141,"111",$AF$4:$AF$141)</f>
        <v>2072587238</v>
      </c>
      <c r="AG146" s="186">
        <f>SUMIF($E$4:$E$141,"111",$AG$4:$AG$141)</f>
        <v>0</v>
      </c>
      <c r="AH146" s="186">
        <f>SUMIF($E$4:$E$141,"111",$AH$4:$AH$141)</f>
        <v>0</v>
      </c>
      <c r="AI146" s="186">
        <f>SUMIF($E$4:$E$141,"111",$AI$4:$AI$141)</f>
        <v>0</v>
      </c>
      <c r="AJ146" s="186">
        <f>SUMIF($E$4:$E$141,"111",$AJ$4:$AJ$141)</f>
        <v>0</v>
      </c>
      <c r="AK146" s="186">
        <f>SUMIF($E$4:$E$141,"111",$AK$4:$AK$141)</f>
        <v>0</v>
      </c>
      <c r="AL146" s="186">
        <f>SUMIF($E$4:$E$141,"111",$AL$4:$AL$141)</f>
        <v>0</v>
      </c>
      <c r="AM146" s="186">
        <f>SUMIF($E$4:$E$141,"111",$AM$4:$AM$141)</f>
        <v>0</v>
      </c>
      <c r="AN146" s="186">
        <f>SUMIF($E$4:$E$141,"111",$AN$4:$AN$141)</f>
        <v>456483545</v>
      </c>
      <c r="AO146" s="186">
        <f>SUMIF($E$4:$E$141,"111",$AO$4:$AO$141)</f>
        <v>144093555</v>
      </c>
      <c r="AP146" s="186">
        <f>SUMIF($E$4:$E$141,"111",$AP$4:$AP$141)</f>
        <v>206429351</v>
      </c>
      <c r="AQ146" s="186">
        <f>SUMIF($E$4:$E$141,"111",$AQ$4:$AQ$141)</f>
        <v>538277548</v>
      </c>
      <c r="AR146" s="186">
        <f>SUMIF($E$4:$E$141,"111",$AR$4:$AR$141)</f>
        <v>0</v>
      </c>
      <c r="AS146" s="186">
        <f>SUMIF($E$4:$E$141,"111",$AS$4:$AS$141)</f>
        <v>0</v>
      </c>
      <c r="AT146" s="186">
        <f>SUMIF($E$4:$E$141,"111",$AT$4:$AT$141)</f>
        <v>3567404</v>
      </c>
      <c r="AU146" s="186">
        <f>SUMIF($E$4:$E$141,"111",$AU$4:$AU$141)</f>
        <v>32159883</v>
      </c>
      <c r="AV146" s="186">
        <f>SUMIF($E$4:$E$141,"111",$AV$4:$AV$141)</f>
        <v>19955896</v>
      </c>
      <c r="AW146" s="186">
        <f>SUMIF($E$4:$E$141,"111",$AW$4:$AW$141)</f>
        <v>0</v>
      </c>
      <c r="AX146" s="186">
        <f>SUMIF($E$4:$E$141,"111",$AX$4:$AX$141)</f>
        <v>536437565</v>
      </c>
      <c r="AY146" s="186">
        <f>SUMIF($E$4:$E$141,"111",$AY$4:$AY$141)</f>
        <v>0</v>
      </c>
      <c r="AZ146" s="186">
        <f>SUMIF($E$4:$E$141,"111",$AZ$4:$AZ$141)</f>
        <v>0</v>
      </c>
      <c r="BA146" s="186">
        <f>SUMIF($E$4:$E$141,"111",$BA$4:$BA$141)</f>
        <v>0</v>
      </c>
      <c r="BB146" s="186">
        <f>SUMIF($E$4:$E$141,"111",$BB$4:$BB$141)</f>
        <v>34000000</v>
      </c>
      <c r="BC146" s="186">
        <f>SUMIF($E$4:$E$141,"111",$BC$4:$BC$141)</f>
        <v>101182491</v>
      </c>
      <c r="BD146" s="171">
        <f t="shared" ref="BD146:BD153" si="162">1-AE146</f>
        <v>0.8411055939622244</v>
      </c>
      <c r="BE146" s="46">
        <f t="shared" ref="BE146:BE152" si="163">SUM(BF146:CB146)</f>
        <v>10971215182</v>
      </c>
      <c r="BF146" s="189">
        <f>SUMIF($E$4:$E$141,"111",$BF$4:$BF$141)</f>
        <v>0</v>
      </c>
      <c r="BG146" s="189">
        <f>SUMIF($E$4:$E$141,"111",$BG$4:$BG$141)</f>
        <v>0</v>
      </c>
      <c r="BH146" s="189">
        <f>SUMIF($E$4:$E$141,"111",$BH$4:$BH$141)</f>
        <v>0</v>
      </c>
      <c r="BI146" s="189">
        <f>SUMIF($E$4:$E$141,"111",$BI$4:$BI$141)</f>
        <v>0</v>
      </c>
      <c r="BJ146" s="189">
        <f>SUMIF($E$4:$E$141,"111",$BJ$4:$BJ$141)</f>
        <v>10500000000</v>
      </c>
      <c r="BK146" s="189">
        <f>SUMIF($E$4:$E$141,"111",$BK$4:$BK$141)</f>
        <v>0</v>
      </c>
      <c r="BL146" s="189">
        <f>SUMIF($E$4:$E$141,"111",$BL$4:$BL$141)</f>
        <v>0</v>
      </c>
      <c r="BM146" s="189">
        <f>SUMIF($E$4:$E$141,"111",$BM$4:$BM$141)</f>
        <v>16530174</v>
      </c>
      <c r="BN146" s="189">
        <f>SUMIF($E$4:$E$141,"111",$BN$4:$BN$141)</f>
        <v>71906445</v>
      </c>
      <c r="BO146" s="189">
        <f>SUMIF($E$4:$E$141,"111",$BO$4:$BO$141)</f>
        <v>82493770</v>
      </c>
      <c r="BP146" s="189">
        <f>SUMIF($E$4:$E$141,"111",$BP$4:$BP$141)</f>
        <v>23092680</v>
      </c>
      <c r="BQ146" s="189">
        <f>SUMIF($E$4:$E$141,"111",$BQ$4:$BQ$141)</f>
        <v>0</v>
      </c>
      <c r="BR146" s="189">
        <f>SUMIF($E$4:$E$141,"111",$BR$4:$BR$141)</f>
        <v>71047242</v>
      </c>
      <c r="BS146" s="189">
        <f>SUMIF($E$4:$E$141,"111",$BS$4:$BS$141)</f>
        <v>1432596</v>
      </c>
      <c r="BT146" s="189">
        <f>SUMIF($E$4:$E$141,"111",$BT$4:$BT$141)</f>
        <v>23000000</v>
      </c>
      <c r="BU146" s="189">
        <f>SUMIF($E$4:$E$141,"111",$BU$4:$BU$141)</f>
        <v>44104</v>
      </c>
      <c r="BV146" s="189">
        <f>SUMIF($E$4:$E$141,"111",$BV$4:$BV$141)</f>
        <v>0</v>
      </c>
      <c r="BW146" s="189">
        <f>SUMIF($E$4:$E$141,"111",$BW$4:$BW$141)</f>
        <v>58800364</v>
      </c>
      <c r="BX146" s="189">
        <f>SUMIF($E$4:$E$141,"111",$BX$4:$BX$141)</f>
        <v>0</v>
      </c>
      <c r="BY146" s="189">
        <f>SUMIF($E$4:$E$141,"111",$BY$4:$BY$141)</f>
        <v>0</v>
      </c>
      <c r="BZ146" s="189">
        <f>SUMIF($E$4:$E$141,"111",$BZ$4:$BZ$141)</f>
        <v>0</v>
      </c>
      <c r="CA146" s="189">
        <f>SUMIF($E$4:$E$141,"111",$CA$4:$CA$141)</f>
        <v>89846638</v>
      </c>
      <c r="CB146" s="190">
        <f>SUMIF($E$4:$E$141,"111",$CB$4:$CB$141)</f>
        <v>33021169</v>
      </c>
      <c r="CC146" s="191">
        <f t="shared" ref="CC146:CC153" si="164">+CD146/G146</f>
        <v>0.1522195254165771</v>
      </c>
      <c r="CD146" s="58">
        <f t="shared" ref="CD146:CD152" si="165">SUM(CE146:DA146)</f>
        <v>1985521414</v>
      </c>
      <c r="CE146" s="186">
        <f>SUMIF($E$4:$E$141,"111",$CE$4:$CE$141)</f>
        <v>0</v>
      </c>
      <c r="CF146" s="186">
        <f>SUMIF($E$4:$E$141,"111",$CF$4:$CF$141)</f>
        <v>0</v>
      </c>
      <c r="CG146" s="186">
        <f>SUMIF($E$4:$E$141,"111",$CG$4:$CG$141)</f>
        <v>0</v>
      </c>
      <c r="CH146" s="186">
        <f>SUMIF($E$4:$E$141,"111",$CH$4:$CH$141)</f>
        <v>0</v>
      </c>
      <c r="CI146" s="186">
        <f>SUMIF($E$4:$E$141,"111",$CI$4:$CI$141)</f>
        <v>0</v>
      </c>
      <c r="CJ146" s="186">
        <f>SUMIF($E$4:$E$141,"111",$CJ$4:$CJ$141)</f>
        <v>0</v>
      </c>
      <c r="CK146" s="186">
        <f>SUMIF($E$4:$E$141,"111",$CK$4:$CK$141)</f>
        <v>0</v>
      </c>
      <c r="CL146" s="186">
        <f>SUMIF($E$4:$E$141,"111",$CL$4:$CL$141)</f>
        <v>439020869</v>
      </c>
      <c r="CM146" s="186">
        <f>SUMIF($E$4:$E$141,"111",$CM$4:$CM$141)</f>
        <v>144093555</v>
      </c>
      <c r="CN146" s="186">
        <f>SUMIF($E$4:$E$141,"111",$CN$4:$CN$141)</f>
        <v>206250670</v>
      </c>
      <c r="CO146" s="186">
        <f>SUMIF($E$4:$E$141,"111",$CO$4:$CO$141)</f>
        <v>538277548</v>
      </c>
      <c r="CP146" s="186">
        <f>SUMIF($E$4:$E$141,"111",$CP$4:$CP$141)</f>
        <v>0</v>
      </c>
      <c r="CQ146" s="186">
        <f>SUMIF($E$4:$E$141,"111",$CQ$4:$CQ$141)</f>
        <v>0</v>
      </c>
      <c r="CR146" s="186">
        <f>SUMIF($E$4:$E$141,"111",$CR$4:$CR$141)</f>
        <v>3567404</v>
      </c>
      <c r="CS146" s="186">
        <f>SUMIF($E$4:$E$141,"111",$CS$4:$CS$141)</f>
        <v>32159883</v>
      </c>
      <c r="CT146" s="186">
        <f>SUMIF($E$4:$E$141,"111",$CT$4:$CT$141)</f>
        <v>19955896</v>
      </c>
      <c r="CU146" s="186">
        <f>SUMIF($E$4:$E$141,"111",$CU$4:$CU$141)</f>
        <v>0</v>
      </c>
      <c r="CV146" s="186">
        <f>SUMIF($E$4:$E$141,"111",$CV$4:$CV$141)</f>
        <v>536437565</v>
      </c>
      <c r="CW146" s="186">
        <f>SUMIF($E$4:$E$141,"111",$CW$4:$CW$141)</f>
        <v>0</v>
      </c>
      <c r="CX146" s="186">
        <f>SUMIF($E$4:$E$141,"111",$CX$4:$CX$141)</f>
        <v>0</v>
      </c>
      <c r="CY146" s="186">
        <f>SUMIF($E$4:$E$141,"111",$CY$4:$CY$141)</f>
        <v>0</v>
      </c>
      <c r="CZ146" s="186">
        <f>SUMIF($E$4:$E$141,"111",$CZ$4:$CZ$141)</f>
        <v>0</v>
      </c>
      <c r="DA146" s="192">
        <f>SUMIF($E$4:$E$141,"111",$DA$4:$DA$141)</f>
        <v>65758024</v>
      </c>
      <c r="DB146" s="43">
        <f t="shared" ref="DB146:DB153" si="166">1-CC146</f>
        <v>0.84778047458342287</v>
      </c>
      <c r="DC146" s="46">
        <f t="shared" ref="DC146:DC152" si="167">SUM(DD146:DZ146)</f>
        <v>11058281006</v>
      </c>
      <c r="DD146" s="189">
        <f>SUMIF($E$4:$E$141,"111",$DD$4:$DD$141)</f>
        <v>0</v>
      </c>
      <c r="DE146" s="189">
        <f>SUMIF($E$4:$E$141,"111",$DE$4:$DE$141)</f>
        <v>0</v>
      </c>
      <c r="DF146" s="189">
        <f>SUMIF($E$4:$E$141,"111",$DF$4:$DF$141)</f>
        <v>0</v>
      </c>
      <c r="DG146" s="189">
        <f>SUMIF($E$4:$E$141,"111",$DG$4:$DG$141)</f>
        <v>0</v>
      </c>
      <c r="DH146" s="189">
        <f>SUMIF($E$4:$E$141,"111",$DH$4:$DH$141)</f>
        <v>10500000000</v>
      </c>
      <c r="DI146" s="189">
        <f>SUMIF($E$4:$E$141,"111",$DI$4:$DI$141)</f>
        <v>0</v>
      </c>
      <c r="DJ146" s="189">
        <f>SUMIF($E$4:$E$141,"111",$DJ$4:$DJ$141)</f>
        <v>0</v>
      </c>
      <c r="DK146" s="189">
        <f>SUMIF($E$4:$E$141,"111",$DK$4:$DK$141)</f>
        <v>33992850</v>
      </c>
      <c r="DL146" s="189">
        <f>SUMIF($E$4:$E$141,"111",$DL$4:$DL$141)</f>
        <v>71906445</v>
      </c>
      <c r="DM146" s="189">
        <f>SUMIF($E$4:$E$141,"111",$DM$4:$DM$141)</f>
        <v>82672451</v>
      </c>
      <c r="DN146" s="189">
        <f>SUMIF($E$4:$E$141,"111",$DN$4:$DN$141)</f>
        <v>23092680</v>
      </c>
      <c r="DO146" s="193">
        <f>SUMIF($E$4:$E$141,"111",$DO$4:$DO$141)</f>
        <v>0</v>
      </c>
      <c r="DP146" s="193">
        <f>SUMIF($E$4:$E$141,"111",$DP$4:$DP$141)</f>
        <v>71047242</v>
      </c>
      <c r="DQ146" s="193">
        <f>SUMIF($E$4:$E$141,"111",$DQ$4:$DQ$141)</f>
        <v>1432596</v>
      </c>
      <c r="DR146" s="193">
        <f>SUMIF($E$4:$E$141,"111",$DR$4:$DR$141)</f>
        <v>23000000</v>
      </c>
      <c r="DS146" s="193">
        <f>SUMIF($E$4:$E$141,"111",$DS$4:$DS$141)</f>
        <v>44104</v>
      </c>
      <c r="DT146" s="193">
        <f>SUMIF($E$4:$E$141,"111",$DT$4:$DT$141)</f>
        <v>0</v>
      </c>
      <c r="DU146" s="193">
        <f>SUMIF($E$4:$E$141,"111",$DU$4:$DU$141)</f>
        <v>58800364</v>
      </c>
      <c r="DV146" s="193">
        <f>SUMIF($E$4:$E$141,"111",$DV$4:$DV$141)</f>
        <v>0</v>
      </c>
      <c r="DW146" s="193">
        <f>SUMIF($E$4:$E$141,"111",$DW$4:$DW$141)</f>
        <v>0</v>
      </c>
      <c r="DX146" s="193">
        <f>SUMIF($E$4:$E$141,"111",$DX$4:$DX$141)</f>
        <v>0</v>
      </c>
      <c r="DY146" s="193">
        <f>SUMIF($E$4:$E$141,"111",$DY$4:$DY$141)</f>
        <v>123846638</v>
      </c>
      <c r="DZ146" s="193">
        <f>SUMIF($E$4:$E$141,"111",$DZ$4:$DZ$141)</f>
        <v>68445636</v>
      </c>
      <c r="EB146" s="47">
        <f t="shared" ref="EB146:EB153" si="168">+G146</f>
        <v>13043802420</v>
      </c>
      <c r="EC146" s="47">
        <f t="shared" ref="EC146:EC152" si="169">+AF146+BE146</f>
        <v>13043802420</v>
      </c>
      <c r="ED146" s="47">
        <f t="shared" ref="ED146:ED153" si="170">+CD146+DC146</f>
        <v>13043802420</v>
      </c>
      <c r="EF146" s="63"/>
    </row>
    <row r="147" spans="3:136" ht="18" customHeight="1" x14ac:dyDescent="0.3">
      <c r="C147" s="194"/>
      <c r="D147" s="184" t="s">
        <v>400</v>
      </c>
      <c r="E147" s="177">
        <v>211</v>
      </c>
      <c r="F147" s="185"/>
      <c r="G147" s="186">
        <f>SUMIF($E$4:$E$141,"211",$G$4:$G$141)</f>
        <v>8014789419</v>
      </c>
      <c r="H147" s="187">
        <f>SUMIF($E$4:$E$142,"211",$H$4:$H$142)</f>
        <v>0</v>
      </c>
      <c r="I147" s="187">
        <f>SUMIF($E$4:$E$142,"211",$I$4:$I$142)</f>
        <v>263340125</v>
      </c>
      <c r="J147" s="187">
        <f>SUMIF($E$4:$E$142,"211",$J$4:$J$142)</f>
        <v>0</v>
      </c>
      <c r="K147" s="187">
        <f>SUMIF($E$4:$E$142,"211",$K$4:$K$142)</f>
        <v>1216000000</v>
      </c>
      <c r="L147" s="186">
        <f>SUMIF($E$4:$E$141,"211",$L$4:$L$141)</f>
        <v>0</v>
      </c>
      <c r="M147" s="185">
        <f>SUMIF($E$4:$E$141,"211",$M$4:$M$141)</f>
        <v>0</v>
      </c>
      <c r="N147" s="185">
        <f>SUMIF($E$4:$E$141,"211",$N$4:$N$141)</f>
        <v>244096406</v>
      </c>
      <c r="O147" s="185">
        <f>SUMIF($E$4:$E$141,"211",$O$4:$O$141)</f>
        <v>1906785637</v>
      </c>
      <c r="P147" s="185">
        <f>SUMIF($E$4:$E$141,"211",$P$4:$P$141)</f>
        <v>709630318</v>
      </c>
      <c r="Q147" s="185">
        <f>SUMIF($E$4:$E$141,"211",$Q$4:$Q$141)</f>
        <v>549800300</v>
      </c>
      <c r="R147" s="185">
        <f>SUMIF($E$4:$E$141,"211",$R$4:$R$141)</f>
        <v>170786495</v>
      </c>
      <c r="S147" s="185">
        <f>SUMIF($E$4:$E$141,"211",$S$4:$S$141)</f>
        <v>0</v>
      </c>
      <c r="T147" s="185">
        <f>SUMIF($E$4:$E$141,"211",$T$4:$T$141)</f>
        <v>50000000</v>
      </c>
      <c r="U147" s="185">
        <f>SUMIF($E$4:$E$141,"211",$U$4:$U$141)</f>
        <v>112491556</v>
      </c>
      <c r="V147" s="185">
        <f>SUMIF($E$4:$E$141,"211",$V$4:$V$141)</f>
        <v>172130178</v>
      </c>
      <c r="W147" s="185">
        <f>SUMIF($E$4:$E$141,"211",$W$4:$W$141)</f>
        <v>80000000</v>
      </c>
      <c r="X147" s="185">
        <f>SUMIF($E$4:$E$141,"211",$X$4:$X$141)</f>
        <v>347806613</v>
      </c>
      <c r="Y147" s="185">
        <f>SUMIF($E$4:$E$141,"211",$Y$4:$Y$141)</f>
        <v>812600000</v>
      </c>
      <c r="Z147" s="185">
        <f>SUMIF($E$4:$E$141,"211",$Z$4:$Z$141)</f>
        <v>210178916</v>
      </c>
      <c r="AA147" s="185">
        <f>SUMIF($E$4:$E$141,"211",$AA$4:$AA$141)</f>
        <v>0</v>
      </c>
      <c r="AB147" s="185"/>
      <c r="AC147" s="185">
        <f>SUMIF($E$4:$E$141,"211",$AC$4:$AC$141)</f>
        <v>241024250</v>
      </c>
      <c r="AD147" s="185">
        <f>SUMIF($E$4:$E$141,"211",$AD$4:$AD$141)</f>
        <v>928118625</v>
      </c>
      <c r="AE147" s="188">
        <f t="shared" si="161"/>
        <v>0.93400446220756783</v>
      </c>
      <c r="AF147" s="186">
        <f>SUMIF($E$4:$E$141,"211",$AF$4:$AF$141)</f>
        <v>7485849081</v>
      </c>
      <c r="AG147" s="186">
        <f>SUMIF($E$4:$E$141,"211",$AG$4:$AG$141)</f>
        <v>0</v>
      </c>
      <c r="AH147" s="186">
        <f>SUMIF($E$4:$E$141,"211",$AH$4:$AH$141)</f>
        <v>258340125</v>
      </c>
      <c r="AI147" s="186">
        <f>SUMIF($E$4:$E$141,"211",$AI$4:$AI$141)</f>
        <v>0</v>
      </c>
      <c r="AJ147" s="186">
        <f>SUMIF($E$4:$E$141,"211",$AJ$4:$AJ$141)</f>
        <v>1216000000</v>
      </c>
      <c r="AK147" s="186">
        <f>SUMIF($E$4:$E$141,"211",$AK$4:$AK$141)</f>
        <v>0</v>
      </c>
      <c r="AL147" s="186">
        <f>SUMIF($E$4:$E$141,"211",$AL$4:$AL$141)</f>
        <v>0</v>
      </c>
      <c r="AM147" s="186">
        <f>SUMIF($E$4:$E$141,"211",$AM$4:$AM$141)</f>
        <v>244096406</v>
      </c>
      <c r="AN147" s="186">
        <f>SUMIF($E$4:$E$141,"211",$AN$4:$AN$141)</f>
        <v>1791378697</v>
      </c>
      <c r="AO147" s="186">
        <f>SUMIF($E$4:$E$141,"211",$AO$4:$AO$141)</f>
        <v>676193274</v>
      </c>
      <c r="AP147" s="186">
        <f>SUMIF($E$4:$E$141,"211",$AP$4:$AP$141)</f>
        <v>534633793</v>
      </c>
      <c r="AQ147" s="186">
        <f>SUMIF($E$4:$E$141,"211",$AQ$4:$AQ$141)</f>
        <v>115512729</v>
      </c>
      <c r="AR147" s="186">
        <f>SUMIF($E$4:$E$141,"211",$AR$4:$AR$141)</f>
        <v>0</v>
      </c>
      <c r="AS147" s="186">
        <f>SUMIF($E$4:$E$141,"211",$AS$4:$AS$141)</f>
        <v>45000000</v>
      </c>
      <c r="AT147" s="186">
        <f>SUMIF($E$4:$E$141,"211",$AT$4:$AT$141)</f>
        <v>28845816</v>
      </c>
      <c r="AU147" s="186">
        <f>SUMIF($E$4:$E$141,"211",$AU$4:$AU$141)</f>
        <v>172130178</v>
      </c>
      <c r="AV147" s="186">
        <f>SUMIF($E$4:$E$141,"211",$AV$4:$AV$141)</f>
        <v>80000000</v>
      </c>
      <c r="AW147" s="186">
        <f>SUMIF($E$4:$E$141,"211",$AW$4:$AW$141)</f>
        <v>341177754</v>
      </c>
      <c r="AX147" s="186">
        <f>SUMIF($E$4:$E$141,"211",$AX$4:$AX$141)</f>
        <v>803275063</v>
      </c>
      <c r="AY147" s="186">
        <f>SUMIF($E$4:$E$141,"211",$AY$4:$AY$141)</f>
        <v>210177249</v>
      </c>
      <c r="AZ147" s="186">
        <f>SUMIF($E$4:$E$141,"211",$AZ$4:$AZ$141)</f>
        <v>0</v>
      </c>
      <c r="BA147" s="186">
        <f>SUMIF($E$4:$E$141,"211",$BA$4:$BA$141)</f>
        <v>0</v>
      </c>
      <c r="BB147" s="186">
        <f>SUMIF($E$4:$E$141,"211",$BB$4:$BB$141)</f>
        <v>168962884</v>
      </c>
      <c r="BC147" s="186">
        <f>SUMIF($E$4:$E$141,"211",$BC$4:$BC$141)</f>
        <v>800125113</v>
      </c>
      <c r="BD147" s="171">
        <f t="shared" si="162"/>
        <v>6.5995537792432168E-2</v>
      </c>
      <c r="BE147" s="46">
        <f t="shared" si="163"/>
        <v>528940338</v>
      </c>
      <c r="BF147" s="189">
        <f>SUMIF($E$4:$E$141,"211",$BF$4:$BF$141)</f>
        <v>0</v>
      </c>
      <c r="BG147" s="189">
        <f>SUMIF($E$4:$E$141,"211",$BG$4:$BG$141)</f>
        <v>5000000</v>
      </c>
      <c r="BH147" s="189">
        <f>SUMIF($E$4:$E$141,"211",$BH$4:$BH$141)</f>
        <v>0</v>
      </c>
      <c r="BI147" s="189">
        <f>SUMIF($E$4:$E$141,"211",$BI$4:$BI$141)</f>
        <v>0</v>
      </c>
      <c r="BJ147" s="189">
        <f>SUMIF($E$4:$E$141,"211",$BJ$4:$BJ$141)</f>
        <v>0</v>
      </c>
      <c r="BK147" s="189">
        <f>SUMIF($E$4:$E$141,"211",$BK$4:$BK$141)</f>
        <v>0</v>
      </c>
      <c r="BL147" s="189">
        <f>SUMIF($E$4:$E$141,"211",$BL$4:$BL$141)</f>
        <v>0</v>
      </c>
      <c r="BM147" s="189">
        <f>SUMIF($E$4:$E$141,"211",$BM$4:$BM$141)</f>
        <v>115406940</v>
      </c>
      <c r="BN147" s="189">
        <f>SUMIF($E$4:$E$141,"211",$BN$4:$BN$141)</f>
        <v>33437044</v>
      </c>
      <c r="BO147" s="189">
        <f>SUMIF($E$4:$E$141,"211",$BO$4:$BO$141)</f>
        <v>15166507</v>
      </c>
      <c r="BP147" s="189">
        <f>SUMIF($E$4:$E$141,"211",$BP$4:$BP$141)</f>
        <v>55273766</v>
      </c>
      <c r="BQ147" s="189">
        <f>SUMIF($E$4:$E$141,"211",$BQ$4:$BQ$141)</f>
        <v>0</v>
      </c>
      <c r="BR147" s="189">
        <f>SUMIF($E$4:$E$141,"211",$BR$4:$BR$141)</f>
        <v>5000000</v>
      </c>
      <c r="BS147" s="189">
        <f>SUMIF($E$4:$E$141,"211",$BS$4:$BS$141)</f>
        <v>83645740</v>
      </c>
      <c r="BT147" s="189">
        <f>SUMIF($E$4:$E$141,"211",$BT$4:$BT$141)</f>
        <v>0</v>
      </c>
      <c r="BU147" s="189">
        <f>SUMIF($E$4:$E$141,"211",$BU$4:$BU$141)</f>
        <v>0</v>
      </c>
      <c r="BV147" s="189">
        <f>SUMIF($E$4:$E$141,"211",$BV$4:$BV$141)</f>
        <v>6628859</v>
      </c>
      <c r="BW147" s="189">
        <f>SUMIF($E$4:$E$141,"211",$BW$4:$BW$141)</f>
        <v>9324937</v>
      </c>
      <c r="BX147" s="189">
        <f>SUMIF($E$4:$E$141,"211",$BX$4:$BX$141)</f>
        <v>1667</v>
      </c>
      <c r="BY147" s="189">
        <f>SUMIF($E$4:$E$141,"211",$BY$4:$BY$141)</f>
        <v>0</v>
      </c>
      <c r="BZ147" s="189">
        <f>SUMIF($E$4:$E$141,"211",$BZ$4:$BZ$141)</f>
        <v>0</v>
      </c>
      <c r="CA147" s="189">
        <f>SUMIF($E$4:$E$141,"211",$CA$4:$CA$141)</f>
        <v>72061366</v>
      </c>
      <c r="CB147" s="190">
        <f>SUMIF($E$4:$E$141,"211",$CB$4:$CB$141)</f>
        <v>127993512</v>
      </c>
      <c r="CC147" s="191">
        <f t="shared" si="164"/>
        <v>0.77401521895181813</v>
      </c>
      <c r="CD147" s="58">
        <f t="shared" si="165"/>
        <v>6203568987</v>
      </c>
      <c r="CE147" s="186">
        <f>SUMIF($E$4:$E$141,"211",$CE$4:$CE$141)</f>
        <v>0</v>
      </c>
      <c r="CF147" s="186">
        <f>SUMIF($E$4:$E$141,"211",$CF$4:$CF$141)</f>
        <v>258340123</v>
      </c>
      <c r="CG147" s="186">
        <f>SUMIF($E$4:$E$141,"211",$CG$4:$CG$141)</f>
        <v>0</v>
      </c>
      <c r="CH147" s="186">
        <f>SUMIF($E$4:$E$141,"211",$CH$4:$CH$141)</f>
        <v>864952636</v>
      </c>
      <c r="CI147" s="186">
        <f>SUMIF($E$4:$E$141,"211",$CI$4:$CI$141)</f>
        <v>0</v>
      </c>
      <c r="CJ147" s="186">
        <f>SUMIF($E$4:$E$141,"211",$CJ$4:$CJ$141)</f>
        <v>0</v>
      </c>
      <c r="CK147" s="186">
        <f>SUMIF($E$4:$E$141,"211",$CK$4:$CK$141)</f>
        <v>236438964</v>
      </c>
      <c r="CL147" s="186">
        <f>SUMIF($E$4:$E$141,"211",$CL$4:$CL$141)</f>
        <v>1523483837</v>
      </c>
      <c r="CM147" s="186">
        <f>SUMIF($E$4:$E$141,"211",$CM$4:$CM$141)</f>
        <v>387193274</v>
      </c>
      <c r="CN147" s="186">
        <f>SUMIF($E$4:$E$141,"211",$CN$4:$CN$141)</f>
        <v>434633793</v>
      </c>
      <c r="CO147" s="186">
        <f>SUMIF($E$4:$E$141,"211",$CO$4:$CO$141)</f>
        <v>75512729</v>
      </c>
      <c r="CP147" s="186">
        <f>SUMIF($E$4:$E$141,"211",$CP$4:$CP$141)</f>
        <v>0</v>
      </c>
      <c r="CQ147" s="186">
        <f>SUMIF($E$4:$E$141,"211",$CQ$4:$CQ$141)</f>
        <v>0</v>
      </c>
      <c r="CR147" s="186">
        <f>SUMIF($E$4:$E$141,"211",$CR$4:$CR$141)</f>
        <v>0</v>
      </c>
      <c r="CS147" s="186">
        <f>SUMIF($E$4:$E$141,"211",$CS$4:$CS$141)</f>
        <v>172130178</v>
      </c>
      <c r="CT147" s="186">
        <f>SUMIF($E$4:$E$141,"211",$CT$4:$CT$141)</f>
        <v>56408945</v>
      </c>
      <c r="CU147" s="186">
        <f>SUMIF($E$4:$E$141,"211",$CU$4:$CU$141)</f>
        <v>340075814</v>
      </c>
      <c r="CV147" s="186">
        <f>SUMIF($E$4:$E$141,"211",$CV$4:$CV$141)</f>
        <v>803275063</v>
      </c>
      <c r="CW147" s="186">
        <f>SUMIF($E$4:$E$141,"211",$CW$4:$CW$141)</f>
        <v>208708333</v>
      </c>
      <c r="CX147" s="186">
        <f>SUMIF($E$4:$E$141,"211",$CX$4:$CX$141)</f>
        <v>0</v>
      </c>
      <c r="CY147" s="186">
        <f>SUMIF($E$4:$E$141,"211",$CY$4:$CY$141)</f>
        <v>0</v>
      </c>
      <c r="CZ147" s="186">
        <f>SUMIF($E$4:$E$141,"211",$CZ$4:$CZ$141)</f>
        <v>144299911</v>
      </c>
      <c r="DA147" s="192">
        <f>SUMIF($E$4:$E$141,"211",$DA$4:$DA$141)</f>
        <v>698115387</v>
      </c>
      <c r="DB147" s="43">
        <f t="shared" si="166"/>
        <v>0.22598478104818187</v>
      </c>
      <c r="DC147" s="46">
        <f t="shared" ca="1" si="167"/>
        <v>1811220432</v>
      </c>
      <c r="DD147" s="189">
        <f ca="1">SUMIF($E$4:$E$142,"211",$DD$4:$DD$141)</f>
        <v>0</v>
      </c>
      <c r="DE147" s="189">
        <f>SUMIF($E$4:$E$141,"211",$DE$4:$DE$141)</f>
        <v>5000002</v>
      </c>
      <c r="DF147" s="189">
        <f>SUMIF($E$4:$E$141,"211",$DF$4:$DF$141)</f>
        <v>0</v>
      </c>
      <c r="DG147" s="189">
        <f>SUMIF($E$4:$E$141,"211",$DG$4:$DG$141)</f>
        <v>351047364</v>
      </c>
      <c r="DH147" s="189">
        <f>SUMIF($E$4:$E$141,"211",$DH$4:$DH$141)</f>
        <v>0</v>
      </c>
      <c r="DI147" s="189">
        <f>SUMIF($E$4:$E$141,"211",$DI$4:$DI$141)</f>
        <v>0</v>
      </c>
      <c r="DJ147" s="189">
        <f>SUMIF($E$4:$E$141,"211",$DJ$4:$DJ$141)</f>
        <v>7657442</v>
      </c>
      <c r="DK147" s="189">
        <f>SUMIF($E$4:$E$141,"211",$DK$4:$DK$141)</f>
        <v>383301800</v>
      </c>
      <c r="DL147" s="189">
        <f>SUMIF($E$4:$E$141,"211",$DL$4:$DL$141)</f>
        <v>322437044</v>
      </c>
      <c r="DM147" s="189">
        <f>SUMIF($E$4:$E$141,"211",$DM$4:$DM$141)</f>
        <v>115166507</v>
      </c>
      <c r="DN147" s="193">
        <f>SUMIF($E$4:$E$141,"211",$DN$4:$DN$141)</f>
        <v>95273766</v>
      </c>
      <c r="DO147" s="193">
        <f>SUMIF($E$4:$E$141,"211",$DO$4:$DO$141)</f>
        <v>0</v>
      </c>
      <c r="DP147" s="193">
        <f>SUMIF($E$4:$E$141,"211",$DP$4:$DP$141)</f>
        <v>50000000</v>
      </c>
      <c r="DQ147" s="193">
        <f>SUMIF($E$4:$E$141,"211",$DQ$4:$DQ$141)</f>
        <v>112491556</v>
      </c>
      <c r="DR147" s="193">
        <f>SUMIF($E$4:$E$141,"211",$DR$4:$DR$141)</f>
        <v>0</v>
      </c>
      <c r="DS147" s="193">
        <f>SUMIF($E$4:$E$141,"211",$DS$4:$DS$141)</f>
        <v>23591055</v>
      </c>
      <c r="DT147" s="193">
        <f>SUMIF($E$4:$E$141,"211",$DT$4:$DT$141)</f>
        <v>7730799</v>
      </c>
      <c r="DU147" s="193">
        <f>SUMIF($E$4:$E$141,"211",$DU$4:$DU$141)</f>
        <v>9324937</v>
      </c>
      <c r="DV147" s="193">
        <f>SUMIF($E$4:$E$141,"211",$DV$4:$DV$141)</f>
        <v>1470583</v>
      </c>
      <c r="DW147" s="193">
        <f>SUMIF($E$4:$E$141,"211",$DW$4:$DW$141)</f>
        <v>0</v>
      </c>
      <c r="DX147" s="193">
        <f>SUMIF($E$4:$E$141,"211",$DX$4:$DX$141)</f>
        <v>0</v>
      </c>
      <c r="DY147" s="193">
        <f>SUMIF($E$4:$E$141,"211",$DY$4:$DY$141)</f>
        <v>96724339</v>
      </c>
      <c r="DZ147" s="193">
        <f>SUMIF($E$4:$E$141,"211",$DZ$4:$DZ$141)</f>
        <v>230003238</v>
      </c>
      <c r="EB147" s="47">
        <f t="shared" si="168"/>
        <v>8014789419</v>
      </c>
      <c r="EC147" s="47">
        <f t="shared" si="169"/>
        <v>8014789419</v>
      </c>
      <c r="ED147" s="47">
        <f t="shared" ca="1" si="170"/>
        <v>8014789419</v>
      </c>
    </row>
    <row r="148" spans="3:136" ht="18" customHeight="1" x14ac:dyDescent="0.3">
      <c r="C148" s="194"/>
      <c r="D148" s="184" t="s">
        <v>298</v>
      </c>
      <c r="E148" s="195">
        <v>301</v>
      </c>
      <c r="F148" s="185"/>
      <c r="G148" s="186">
        <f>SUMIF($E$4:$E$141,"301",$G$4:$G$141)</f>
        <v>3687641610</v>
      </c>
      <c r="H148" s="187">
        <f>SUMIF($E$4:$E$142,"301",$H$4:$H$142)</f>
        <v>444106222</v>
      </c>
      <c r="I148" s="187">
        <f>SUMIF($E$4:$E$142,"301",$I$4:$I$142)</f>
        <v>180000000</v>
      </c>
      <c r="J148" s="187">
        <f>SUMIF($E$4:$E$142,"301",$J$4:$J$142)</f>
        <v>0</v>
      </c>
      <c r="K148" s="187">
        <f>SUMIF($E$4:$E$142,"301",$K$4:$K$142)</f>
        <v>681816144</v>
      </c>
      <c r="L148" s="186">
        <f>SUMIF($E$4:$E$141,"301",$L$4:$L$141)</f>
        <v>0</v>
      </c>
      <c r="M148" s="185">
        <f>SUMIF($E$4:$E$141,"301",$M$4:$M$141)</f>
        <v>208000000</v>
      </c>
      <c r="N148" s="185">
        <f>SUMIF($E$4:$E$141,"301",$N$4:$N$141)</f>
        <v>0</v>
      </c>
      <c r="O148" s="185">
        <f>SUMIF($E$4:$E$141,"301",$O$4:$O$141)</f>
        <v>0</v>
      </c>
      <c r="P148" s="185">
        <f>SUMIF($E$4:$E$141,"301",$P$4:$P$141)</f>
        <v>0</v>
      </c>
      <c r="Q148" s="185">
        <f>SUMIF($E$4:$E$141,"301",$Q$4:$Q$141)</f>
        <v>0</v>
      </c>
      <c r="R148" s="185">
        <f>SUMIF($E$4:$E$141,"301",$R$4:$R$141)</f>
        <v>0</v>
      </c>
      <c r="S148" s="185">
        <f>SUMIF($E$4:$E$141,"301",$S$4:$S$141)</f>
        <v>0</v>
      </c>
      <c r="T148" s="185">
        <f>SUMIF($E$4:$E$141,"301",$T$4:$T$141)</f>
        <v>0</v>
      </c>
      <c r="U148" s="185">
        <f>SUMIF($E$4:$E$141,"301",$U$4:$U$141)</f>
        <v>0</v>
      </c>
      <c r="V148" s="185">
        <f>SUMIF($E$4:$E$141,"301",$V$4:$V$141)</f>
        <v>0</v>
      </c>
      <c r="W148" s="185">
        <f>SUMIF($E$4:$E$141,"301",$W$4:$W$141)</f>
        <v>0</v>
      </c>
      <c r="X148" s="185">
        <f>SUMIF($E$4:$E$141,"301",$X$4:$X$141)</f>
        <v>100000000</v>
      </c>
      <c r="Y148" s="185">
        <f>SUMIF($E$4:$E$141,"301",$Y$4:$Y$141)</f>
        <v>32712008</v>
      </c>
      <c r="Z148" s="185">
        <f>SUMIF($E$4:$E$141,"301",$Z$4:$Z$141)</f>
        <v>114788955</v>
      </c>
      <c r="AA148" s="185">
        <f>SUMIF($E$4:$E$141,"301",$AA$4:$AA$141)</f>
        <v>1770728185</v>
      </c>
      <c r="AB148" s="185"/>
      <c r="AC148" s="185">
        <f>SUMIF($E$4:$E$141,"301",$AC$4:$AC$141)</f>
        <v>0</v>
      </c>
      <c r="AD148" s="185">
        <f>SUMIF($E$4:$E$141,"301",$AD$4:$AD$141)</f>
        <v>155490096</v>
      </c>
      <c r="AE148" s="188">
        <f t="shared" si="161"/>
        <v>0.99019739854817401</v>
      </c>
      <c r="AF148" s="186">
        <f>SUMIF($E$4:$E$141,"301",$AF$4:$AF$141)</f>
        <v>3651493129</v>
      </c>
      <c r="AG148" s="186">
        <f>SUMIF($E$4:$E$141,"301",$AG$4:$AG$141)</f>
        <v>443770850</v>
      </c>
      <c r="AH148" s="186">
        <f>SUMIF($E$4:$E$141,"301",$AH$4:$AH$141)</f>
        <v>179513390</v>
      </c>
      <c r="AI148" s="186">
        <f>SUMIF($E$4:$E$141,"301",$AI$4:$AI$141)</f>
        <v>0</v>
      </c>
      <c r="AJ148" s="186">
        <f>SUMIF($E$4:$E$141,"301",$AJ$4:$AJ$141)</f>
        <v>681816144</v>
      </c>
      <c r="AK148" s="186">
        <f>SUMIF($E$4:$E$141,"301",$AK$4:$AK$141)</f>
        <v>0</v>
      </c>
      <c r="AL148" s="186">
        <f>SUMIF($E$4:$E$141,"301",$AL$4:$AL$141)</f>
        <v>200411327</v>
      </c>
      <c r="AM148" s="186">
        <f>SUMIF($E$4:$E$141,"301",$AM$4:$AM$141)</f>
        <v>0</v>
      </c>
      <c r="AN148" s="186">
        <f>SUMIF($E$4:$E$141,"301",$AN$4:$AN$141)</f>
        <v>0</v>
      </c>
      <c r="AO148" s="186">
        <f>SUMIF($E$4:$E$141,"301",$AO$4:$AO$141)</f>
        <v>0</v>
      </c>
      <c r="AP148" s="186">
        <f>SUMIF($E$4:$E$141,"301",$AP$4:$AP$141)</f>
        <v>0</v>
      </c>
      <c r="AQ148" s="186">
        <f>SUMIF($E$4:$E$141,"301",$AQ$4:$AQ$141)</f>
        <v>0</v>
      </c>
      <c r="AR148" s="186">
        <f>SUMIF($E$4:$E$141,"301",$AR$4:$AR$141)</f>
        <v>0</v>
      </c>
      <c r="AS148" s="186">
        <f>SUMIF($E$4:$E$141,"301",$AS$4:$AS$141)</f>
        <v>0</v>
      </c>
      <c r="AT148" s="186">
        <f>SUMIF($E$4:$E$141,"301",$AT$4:$AT$141)</f>
        <v>0</v>
      </c>
      <c r="AU148" s="186">
        <f>SUMIF($E$4:$E$141,"301",$AU$4:$AU$141)</f>
        <v>0</v>
      </c>
      <c r="AV148" s="186">
        <f>SUMIF($E$4:$E$141,"301",$AV$4:$AV$141)</f>
        <v>0</v>
      </c>
      <c r="AW148" s="186">
        <f>SUMIF($E$4:$E$141,"301",$AW$4:$AW$141)</f>
        <v>98046000</v>
      </c>
      <c r="AX148" s="186">
        <f>SUMIF($E$4:$E$141,"301",$AX$4:$AX$141)</f>
        <v>32712008</v>
      </c>
      <c r="AY148" s="186">
        <f>SUMIF($E$4:$E$141,"301",$AY$4:$AY$141)</f>
        <v>110941940</v>
      </c>
      <c r="AZ148" s="186">
        <f>SUMIF($E$4:$E$141,"301",$AZ$4:$AZ$141)</f>
        <v>1757659170</v>
      </c>
      <c r="BA148" s="186">
        <f>SUMIF($E$4:$E$141,"301",$BA$4:$BA$141)</f>
        <v>0</v>
      </c>
      <c r="BB148" s="186">
        <f>SUMIF($E$4:$E$141,"301",$BB$4:$BB$141)</f>
        <v>0</v>
      </c>
      <c r="BC148" s="186">
        <f>SUMIF($E$4:$E$141,"301",$BC$4:$BC$141)</f>
        <v>146622300</v>
      </c>
      <c r="BD148" s="171">
        <f t="shared" si="162"/>
        <v>9.8026014518259874E-3</v>
      </c>
      <c r="BE148" s="46">
        <f t="shared" si="163"/>
        <v>36148481</v>
      </c>
      <c r="BF148" s="189">
        <f>SUMIF($E$4:$E$141,"301",$BF$4:$BF$141)</f>
        <v>335372</v>
      </c>
      <c r="BG148" s="189">
        <f>SUMIF($E$4:$E$141,"301",$BG$4:$BG$141)</f>
        <v>486610</v>
      </c>
      <c r="BH148" s="189">
        <f>SUMIF($E$4:$E$141,"301",$BH$4:$BH$141)</f>
        <v>0</v>
      </c>
      <c r="BI148" s="189">
        <f>SUMIF($E$4:$E$141,"301",$BI$4:$BI$141)</f>
        <v>0</v>
      </c>
      <c r="BJ148" s="189">
        <f>SUMIF($E$4:$E$141,"301",$BJ$4:$BJ$141)</f>
        <v>0</v>
      </c>
      <c r="BK148" s="189">
        <f>SUMIF($E$4:$E$141,"301",$BK$4:$BK$141)</f>
        <v>7588673</v>
      </c>
      <c r="BL148" s="189">
        <f>SUMIF($E$4:$E$141,"301",$BL$4:$BL$141)</f>
        <v>0</v>
      </c>
      <c r="BM148" s="189">
        <f>SUMIF($E$4:$E$141,"301",$BM$4:$BM$141)</f>
        <v>0</v>
      </c>
      <c r="BN148" s="189">
        <f>SUMIF($E$4:$E$141,"301",$BN$4:$BN$141)</f>
        <v>0</v>
      </c>
      <c r="BO148" s="189">
        <f>SUMIF($E$4:$E$141,"301",$BO$4:$BO$141)</f>
        <v>0</v>
      </c>
      <c r="BP148" s="189">
        <f>SUMIF($E$4:$E$141,"301",$BP$4:$BP$141)</f>
        <v>0</v>
      </c>
      <c r="BQ148" s="189">
        <f>SUMIF($E$4:$E$141,"301",$BQ$4:$BQ$141)</f>
        <v>0</v>
      </c>
      <c r="BR148" s="189">
        <f>SUMIF($E$4:$E$141,"301",$BR$4:$BR$141)</f>
        <v>0</v>
      </c>
      <c r="BS148" s="189">
        <f>SUMIF($E$4:$E$141,"301",$BS$4:$BS$141)</f>
        <v>0</v>
      </c>
      <c r="BT148" s="189">
        <f>SUMIF($E$4:$E$141,"301",$BT$4:$BT$141)</f>
        <v>0</v>
      </c>
      <c r="BU148" s="189">
        <f>SUMIF($E$4:$E$141,"301",$BU$4:$BU$141)</f>
        <v>0</v>
      </c>
      <c r="BV148" s="189">
        <f>SUMIF($E$4:$E$141,"301",$BV$4:$BV$141)</f>
        <v>1954000</v>
      </c>
      <c r="BW148" s="189">
        <f>SUMIF($E$4:$E$141,"301",$BW$4:$BW$141)</f>
        <v>0</v>
      </c>
      <c r="BX148" s="189">
        <f>SUMIF($E$4:$E$141,"301",$BX$4:$BX$141)</f>
        <v>3847015</v>
      </c>
      <c r="BY148" s="189">
        <f>SUMIF($E$4:$E$141,"301",$BY$4:$BY$141)</f>
        <v>13069015</v>
      </c>
      <c r="BZ148" s="189">
        <f>SUMIF($E$4:$E$141,"301",$BZ$4:$BZ$141)</f>
        <v>0</v>
      </c>
      <c r="CA148" s="189">
        <f>SUMIF($E$4:$E$141,"301",$CA$4:$CA$141)</f>
        <v>0</v>
      </c>
      <c r="CB148" s="190">
        <f>SUMIF($E$4:$E$141,"301",$CB$4:$CB$141)</f>
        <v>8867796</v>
      </c>
      <c r="CC148" s="191">
        <f t="shared" si="164"/>
        <v>0.80598386077978978</v>
      </c>
      <c r="CD148" s="58">
        <f t="shared" si="165"/>
        <v>2972179622</v>
      </c>
      <c r="CE148" s="186">
        <f>SUMIF($E$4:$E$141,"301",$CE$4:$CE$141)</f>
        <v>443770850</v>
      </c>
      <c r="CF148" s="186">
        <f>SUMIF($E$4:$E$141,"301",$CF$4:$CF$141)</f>
        <v>177113390</v>
      </c>
      <c r="CG148" s="186">
        <f>SUMIF($E$4:$E$141,"301",$CG$4:$CG$141)</f>
        <v>0</v>
      </c>
      <c r="CH148" s="186">
        <f>SUMIF($E$4:$E$141,"301",$CH$4:$CH$141)</f>
        <v>155239307</v>
      </c>
      <c r="CI148" s="186">
        <f>SUMIF($E$4:$E$141,"301",$CI$4:$CI$141)</f>
        <v>0</v>
      </c>
      <c r="CJ148" s="186">
        <f>SUMIF($E$4:$E$141,"301",$CJ$4:$CJ$141)</f>
        <v>205876669</v>
      </c>
      <c r="CK148" s="186">
        <f>SUMIF($E$4:$E$141,"301",$CK$4:$CK$141)</f>
        <v>0</v>
      </c>
      <c r="CL148" s="186">
        <f>SUMIF($E$4:$E$141,"301",$CL$4:$CL$141)</f>
        <v>0</v>
      </c>
      <c r="CM148" s="186">
        <f>SUMIF($E$4:$E$141,"301",$CM$4:$CM$141)</f>
        <v>0</v>
      </c>
      <c r="CN148" s="186">
        <f>SUMIF($E$4:$E$141,"301",$CN$4:$CN$141)</f>
        <v>0</v>
      </c>
      <c r="CO148" s="186">
        <f>SUMIF($E$4:$E$141,"301",$CO$4:$CO$141)</f>
        <v>0</v>
      </c>
      <c r="CP148" s="186">
        <f>SUMIF($E$4:$E$141,"301",$CP$4:$CP$141)</f>
        <v>0</v>
      </c>
      <c r="CQ148" s="186">
        <f>SUMIF($E$4:$E$141,"301",$CQ$4:$CQ$141)</f>
        <v>0</v>
      </c>
      <c r="CR148" s="186">
        <f>SUMIF($E$4:$E$141,"301",$CR$4:$CR$141)</f>
        <v>0</v>
      </c>
      <c r="CS148" s="186">
        <f>SUMIF($E$4:$E$141,"301",$CS$4:$CS$141)</f>
        <v>0</v>
      </c>
      <c r="CT148" s="186">
        <f>SUMIF($E$4:$E$141,"301",$CT$4:$CT$141)</f>
        <v>0</v>
      </c>
      <c r="CU148" s="186">
        <f>SUMIF($E$4:$E$141,"301",$CU$4:$CU$141)</f>
        <v>96846000</v>
      </c>
      <c r="CV148" s="186">
        <f>SUMIF($E$4:$E$141,"301",$CV$4:$CV$141)</f>
        <v>27246666</v>
      </c>
      <c r="CW148" s="186">
        <f>SUMIF($E$4:$E$141,"301",$CW$4:$CW$141)</f>
        <v>50941940</v>
      </c>
      <c r="CX148" s="186">
        <f>SUMIF($E$4:$E$141,"301",$CX$4:$CX$141)</f>
        <v>1717036386</v>
      </c>
      <c r="CY148" s="186">
        <f>SUMIF($E$4:$E$141,"301",$CY$4:$CY$141)</f>
        <v>0</v>
      </c>
      <c r="CZ148" s="186">
        <f>SUMIF($E$4:$E$141,"301",$CZ$4:$CZ$141)</f>
        <v>0</v>
      </c>
      <c r="DA148" s="192">
        <f>SUMIF($E$4:$E$141,"301",$DA$4:$DA$141)</f>
        <v>98108414</v>
      </c>
      <c r="DB148" s="43">
        <f t="shared" si="166"/>
        <v>0.19401613922021022</v>
      </c>
      <c r="DC148" s="46">
        <f t="shared" ca="1" si="167"/>
        <v>715461988</v>
      </c>
      <c r="DD148" s="189">
        <f ca="1">SUMIF($E$4:$E$142,"301",$DD$4:$DD$141)</f>
        <v>335372</v>
      </c>
      <c r="DE148" s="189">
        <f>SUMIF($E$4:$E$141,"301",$DE$4:$DE$141)</f>
        <v>2886610</v>
      </c>
      <c r="DF148" s="189">
        <f>SUMIF($E$4:$E$141,"301",$DF$4:$DF$141)</f>
        <v>0</v>
      </c>
      <c r="DG148" s="189">
        <f>SUMIF($E$4:$E$141,"301",$DG$4:$DG$141)</f>
        <v>526576837</v>
      </c>
      <c r="DH148" s="189">
        <f>SUMIF($E$4:$E$141,"301",$DH$4:$DH$141)</f>
        <v>0</v>
      </c>
      <c r="DI148" s="189">
        <f>SUMIF($E$4:$E$141,"301",$DI$4:$DI$141)</f>
        <v>2123331</v>
      </c>
      <c r="DJ148" s="189">
        <f>SUMIF($E$4:$E$141,"301",$DJ$4:$DJ$141)</f>
        <v>0</v>
      </c>
      <c r="DK148" s="189">
        <f>SUMIF($E$4:$E$141,"301",$DK$4:$DK$141)</f>
        <v>0</v>
      </c>
      <c r="DL148" s="189">
        <f>SUMIF($E$4:$E$141,"301",$DL$4:$DL$141)</f>
        <v>0</v>
      </c>
      <c r="DM148" s="189">
        <f>SUMIF($E$4:$E$141,"301",$DM$4:$DM$141)</f>
        <v>0</v>
      </c>
      <c r="DN148" s="193">
        <f>SUMIF($E$4:$E$141,"301",$DN$4:$DN$141)</f>
        <v>0</v>
      </c>
      <c r="DO148" s="193">
        <f>SUMIF($E$4:$E$141,"301",$DO$4:$DO$141)</f>
        <v>0</v>
      </c>
      <c r="DP148" s="193">
        <f>SUMIF($E$4:$E$141,"301",$DP$4:$DP$141)</f>
        <v>0</v>
      </c>
      <c r="DQ148" s="193">
        <f>SUMIF($E$4:$E$141,"301",$DQ$4:$DQ$141)</f>
        <v>0</v>
      </c>
      <c r="DR148" s="193">
        <f>SUMIF($E$4:$E$141,"301",$DR$4:$DR$141)</f>
        <v>0</v>
      </c>
      <c r="DS148" s="193">
        <f>SUMIF($E$4:$E$141,"301",$DS$4:$DS$141)</f>
        <v>0</v>
      </c>
      <c r="DT148" s="193">
        <f>SUMIF($E$4:$E$141,"301",$DT$4:$DT$141)</f>
        <v>3154000</v>
      </c>
      <c r="DU148" s="193">
        <f>SUMIF($E$4:$E$141,"301",$DU$4:$DU$141)</f>
        <v>5465342</v>
      </c>
      <c r="DV148" s="193">
        <f>SUMIF($E$4:$E$141,"301",$DV$4:$DV$141)</f>
        <v>63847015</v>
      </c>
      <c r="DW148" s="193">
        <f>SUMIF($E$4:$E$141,"301",$DW$4:$DW$141)</f>
        <v>53691799</v>
      </c>
      <c r="DX148" s="193">
        <f>SUMIF($E$4:$E$141,"301",$DX$4:$DX$141)</f>
        <v>0</v>
      </c>
      <c r="DY148" s="193">
        <f>SUMIF($E$4:$E$141,"301",$DY$4:$DY$141)</f>
        <v>0</v>
      </c>
      <c r="DZ148" s="193">
        <f>SUMIF($E$4:$E$141,"301",$DZ$4:$DZ$141)</f>
        <v>57381682</v>
      </c>
      <c r="EB148" s="47">
        <f t="shared" si="168"/>
        <v>3687641610</v>
      </c>
      <c r="EC148" s="47">
        <f t="shared" si="169"/>
        <v>3687641610</v>
      </c>
      <c r="ED148" s="47">
        <f t="shared" ca="1" si="170"/>
        <v>3687641610</v>
      </c>
    </row>
    <row r="149" spans="3:136" ht="16.5" customHeight="1" x14ac:dyDescent="0.3">
      <c r="C149" s="194"/>
      <c r="D149" s="184" t="s">
        <v>401</v>
      </c>
      <c r="E149" s="177">
        <v>310</v>
      </c>
      <c r="F149" s="185"/>
      <c r="G149" s="186">
        <f>SUMIF($E$4:$E$141,"310",$G$4:$G$141)</f>
        <v>1076000000</v>
      </c>
      <c r="H149" s="187">
        <f>SUMIF($E$4:$E$141,"310",$H$4:$H$141)</f>
        <v>0</v>
      </c>
      <c r="I149" s="187">
        <f>SUMIF($E$4:$E$141,"310",$I$4:$I$141)</f>
        <v>540000000</v>
      </c>
      <c r="J149" s="187">
        <f>SUMIF($E$4:$E$142,"310",$J$4:$J$142)</f>
        <v>0</v>
      </c>
      <c r="K149" s="187">
        <f>SUMIF($E$4:$E$142,"310",$K$4:$K$142)</f>
        <v>300000000</v>
      </c>
      <c r="L149" s="186">
        <f>SUMIF($E$4:$E$141,"310",$L$4:$L$141)</f>
        <v>0</v>
      </c>
      <c r="M149" s="185">
        <f>SUMIF($E$4:$E$141,"310",$M$4:$M$141)</f>
        <v>0</v>
      </c>
      <c r="N149" s="185">
        <f>SUMIF($E$4:$E$141,"310",$N$4:$N$141)</f>
        <v>0</v>
      </c>
      <c r="O149" s="185">
        <f>SUMIF($E$4:$E$141,"310",$O$4:$O$141)</f>
        <v>0</v>
      </c>
      <c r="P149" s="185">
        <f>SUMIF($E$4:$E$141,"310",$P$4:$P$141)</f>
        <v>0</v>
      </c>
      <c r="Q149" s="185">
        <f>SUMIF($E$4:$E$141,"310",$Q$4:$Q$141)</f>
        <v>0</v>
      </c>
      <c r="R149" s="185">
        <f>SUMIF($E$4:$E$141,"310",$R$4:$R$141)</f>
        <v>0</v>
      </c>
      <c r="S149" s="185">
        <f>SUMIF($E$4:$E$141,"310",$S$4:$S$141)</f>
        <v>0</v>
      </c>
      <c r="T149" s="185">
        <f>SUMIF($E$4:$E$141,"310",$T$4:$T$141)</f>
        <v>0</v>
      </c>
      <c r="U149" s="185">
        <f>SUMIF($E$4:$E$141,"310",$U$4:$U$141)</f>
        <v>0</v>
      </c>
      <c r="V149" s="185">
        <f>SUMIF($E$4:$E$141,"310",$V$4:$V$141)</f>
        <v>0</v>
      </c>
      <c r="W149" s="185">
        <f>SUMIF($E$4:$E$141,"310",$W$4:$W$141)</f>
        <v>0</v>
      </c>
      <c r="X149" s="185">
        <f>SUMIF($E$4:$E$141,"310",$X$4:$X$141)</f>
        <v>76000000</v>
      </c>
      <c r="Y149" s="185">
        <f>SUMIF($E$4:$E$141,"310",$Y$4:$Y$141)</f>
        <v>54000000</v>
      </c>
      <c r="Z149" s="185">
        <f>SUMIF($E$4:$E$141,"310",$Z$4:$Z$141)</f>
        <v>0</v>
      </c>
      <c r="AA149" s="185">
        <f>SUMIF($E$4:$E$130,"310",$AA$4:$AA$130)</f>
        <v>0</v>
      </c>
      <c r="AB149" s="185"/>
      <c r="AC149" s="185">
        <f>SUMIF($E$4:$E$141,"310",$AC$4:$AC$141)</f>
        <v>0</v>
      </c>
      <c r="AD149" s="185">
        <f>SUMIF($E$4:$E$141,"310",$AD$4:$AD$141)</f>
        <v>106000000</v>
      </c>
      <c r="AE149" s="188">
        <f t="shared" si="161"/>
        <v>0.93353468215613378</v>
      </c>
      <c r="AF149" s="186">
        <f>SUMIF($E$4:$E$141,"310",$AF$4:$AF$141)</f>
        <v>1004483318</v>
      </c>
      <c r="AG149" s="186">
        <f>SUMIF($E$4:$E$141,"310",$AG$4:$AG$141)</f>
        <v>0</v>
      </c>
      <c r="AH149" s="186">
        <f>SUMIF($E$4:$E$141,"310",$AH$4:$AH$141)</f>
        <v>535345383</v>
      </c>
      <c r="AI149" s="186">
        <f>SUMIF($E$4:$E$141,"310",$AI$4:$AI$141)</f>
        <v>0</v>
      </c>
      <c r="AJ149" s="186">
        <f>SUMIF($E$4:$E$141,"310",$AJ$4:$AJ$141)</f>
        <v>300000000</v>
      </c>
      <c r="AK149" s="186">
        <f>SUMIF($E$4:$E$141,"310",$AK$4:$AK$141)</f>
        <v>0</v>
      </c>
      <c r="AL149" s="186">
        <f>SUMIF($E$4:$E$141,"310",$AL$4:$AL$141)</f>
        <v>0</v>
      </c>
      <c r="AM149" s="186">
        <f>SUMIF($E$4:$E$141,"310",$AM$4:$AM$141)</f>
        <v>0</v>
      </c>
      <c r="AN149" s="186">
        <f>SUMIF($E$4:$E$141,"310",$AN$4:$AN$141)</f>
        <v>0</v>
      </c>
      <c r="AO149" s="186">
        <f>SUMIF($E$4:$E$141,"310",$AO$4:$AO$141)</f>
        <v>0</v>
      </c>
      <c r="AP149" s="186">
        <f>SUMIF($E$4:$E$141,"310",$AP$4:$AP$141)</f>
        <v>0</v>
      </c>
      <c r="AQ149" s="186">
        <f>SUMIF($E$4:$E$141,"310",$AQ$4:$AQ$141)</f>
        <v>0</v>
      </c>
      <c r="AR149" s="186">
        <f>SUMIF($E$4:$E$141,"310",$AR$4:$AR$141)</f>
        <v>0</v>
      </c>
      <c r="AS149" s="186">
        <f>SUMIF($E$4:$E$141,"310",$AS$4:$AS$141)</f>
        <v>0</v>
      </c>
      <c r="AT149" s="186">
        <f>SUMIF($E$4:$E$141,"310",$AT$4:$AT$141)</f>
        <v>0</v>
      </c>
      <c r="AU149" s="186">
        <f>SUMIF($E$4:$E$141,"310",$AU$4:$AU$141)</f>
        <v>0</v>
      </c>
      <c r="AV149" s="186">
        <f>SUMIF($E$4:$E$141,"310",$AV$4:$AV$141)</f>
        <v>0</v>
      </c>
      <c r="AW149" s="186">
        <f>SUMIF($E$4:$E$141,"310",$AW$4:$AW$141)</f>
        <v>69170000</v>
      </c>
      <c r="AX149" s="186">
        <f>SUMIF($E$4:$E$141,"310",$AX$4:$AX$141)</f>
        <v>20000000</v>
      </c>
      <c r="AY149" s="186">
        <f>SUMIF($E$4:$E$141,"310",$AY$4:$AY$141)</f>
        <v>0</v>
      </c>
      <c r="AZ149" s="186">
        <f>SUMIF($E$4:$E$141,"310",$AZ$4:$AZ$141)</f>
        <v>0</v>
      </c>
      <c r="BA149" s="186">
        <f>SUMIF($E$4:$E$141,"310",$BA$4:$BA$141)</f>
        <v>0</v>
      </c>
      <c r="BB149" s="186">
        <f>SUMIF($E$4:$E$141,"310",$BB$4:$BB$141)</f>
        <v>0</v>
      </c>
      <c r="BC149" s="186">
        <f>SUMIF($E$4:$E$141,"310",$BC$4:$BC$141)</f>
        <v>79967935</v>
      </c>
      <c r="BD149" s="171">
        <f t="shared" si="162"/>
        <v>6.6465317843866223E-2</v>
      </c>
      <c r="BE149" s="46">
        <f t="shared" si="163"/>
        <v>71516682</v>
      </c>
      <c r="BF149" s="189">
        <f>SUMIF($E$4:$E$141,"310",$BF$4:$BF$141)</f>
        <v>0</v>
      </c>
      <c r="BG149" s="189">
        <f>SUMIF($E$4:$E$141,"310",$BG$4:$BG$141)</f>
        <v>4654617</v>
      </c>
      <c r="BH149" s="189">
        <f>SUMIF($E$4:$E$141,"310",$BH$4:$BH$141)</f>
        <v>0</v>
      </c>
      <c r="BI149" s="189">
        <f>SUMIF($E$4:$E$141,"310",$BI$4:$BI$141)</f>
        <v>0</v>
      </c>
      <c r="BJ149" s="189">
        <f>SUMIF($E$4:$E$141,"310",$BJ$4:$BJ$141)</f>
        <v>0</v>
      </c>
      <c r="BK149" s="189">
        <f>SUMIF($E$4:$E$141,"310",$BK$4:$BK$141)</f>
        <v>0</v>
      </c>
      <c r="BL149" s="189">
        <f>SUMIF($E$4:$E$141,"310",$BL$4:$BL$141)</f>
        <v>0</v>
      </c>
      <c r="BM149" s="189">
        <f>SUMIF($E$4:$E$141,"310",$BM$4:$BM$141)</f>
        <v>0</v>
      </c>
      <c r="BN149" s="189">
        <f>SUMIF($E$4:$E$141,"310",$BN$4:$BN$141)</f>
        <v>0</v>
      </c>
      <c r="BO149" s="189">
        <f>SUMIF($E$4:$E$141,"310",$BO$4:$BO$141)</f>
        <v>0</v>
      </c>
      <c r="BP149" s="189">
        <f>SUMIF($E$4:$E$141,"310",$BP$4:$BP$141)</f>
        <v>0</v>
      </c>
      <c r="BQ149" s="189">
        <f>SUMIF($E$4:$E$141,"310",$BQ$4:$BQ$141)</f>
        <v>0</v>
      </c>
      <c r="BR149" s="189">
        <f>SUMIF($E$4:$E$141,"310",$BR$4:$BR$141)</f>
        <v>0</v>
      </c>
      <c r="BS149" s="189">
        <f>SUMIF($E$4:$E$141,"310",$BS$4:$BS$141)</f>
        <v>0</v>
      </c>
      <c r="BT149" s="189">
        <f>SUMIF($E$4:$E$141,"310",$BT$4:$BT$141)</f>
        <v>0</v>
      </c>
      <c r="BU149" s="189">
        <f>SUMIF($E$4:$E$141,"310",$BU$4:$BU$141)</f>
        <v>0</v>
      </c>
      <c r="BV149" s="189">
        <f>SUMIF($E$4:$E$141,"310",$BV$4:$BV$141)</f>
        <v>6830000</v>
      </c>
      <c r="BW149" s="189">
        <f>SUMIF($E$4:$E$141,"310",$BW$4:$BW$141)</f>
        <v>34000000</v>
      </c>
      <c r="BX149" s="189">
        <f>SUMIF($E$4:$E$141,"310",$BX$4:$BX$141)</f>
        <v>0</v>
      </c>
      <c r="BY149" s="189">
        <f>SUMIF($E$4:$E$141,"310",$BY$4:$BY$141)</f>
        <v>0</v>
      </c>
      <c r="BZ149" s="189">
        <f>SUMIF($E$4:$E$141,"310",$BZ$4:$BZ$141)</f>
        <v>0</v>
      </c>
      <c r="CA149" s="189">
        <f>SUMIF($E$4:$E$141,"310",$CA$4:$CA$141)</f>
        <v>0</v>
      </c>
      <c r="CB149" s="190">
        <f>SUMIF($E$4:$E$141,"310",$CB$4:$CB$141)</f>
        <v>26032065</v>
      </c>
      <c r="CC149" s="191">
        <f t="shared" si="164"/>
        <v>0.67164842193308549</v>
      </c>
      <c r="CD149" s="58">
        <f t="shared" si="165"/>
        <v>722693702</v>
      </c>
      <c r="CE149" s="186">
        <f>SUMIF($E$4:$E$141,"310",$CE$4:$CE$141)</f>
        <v>0</v>
      </c>
      <c r="CF149" s="186">
        <f>SUMIF($E$4:$E$141,"310",$CF$4:$CF$141)</f>
        <v>489094917</v>
      </c>
      <c r="CG149" s="186">
        <f>SUMIF($E$4:$E$141,"310",$CG$4:$CG$141)</f>
        <v>0</v>
      </c>
      <c r="CH149" s="186">
        <f>SUMIF($E$4:$E$141,"310",$CH$4:$CH$141)</f>
        <v>132009543</v>
      </c>
      <c r="CI149" s="186">
        <f>SUMIF($E$4:$E$141,"310",$CI$4:$CI$141)</f>
        <v>0</v>
      </c>
      <c r="CJ149" s="186">
        <f>SUMIF($E$4:$E$141,"310",$CJ$4:$CJ$141)</f>
        <v>0</v>
      </c>
      <c r="CK149" s="186">
        <f>SUMIF($E$4:$E$141,"310",$CK$4:$CK$141)</f>
        <v>0</v>
      </c>
      <c r="CL149" s="186">
        <f>SUMIF($E$4:$E$141,"310",$CL$4:$CL$141)</f>
        <v>0</v>
      </c>
      <c r="CM149" s="186">
        <f>SUMIF($E$4:$E$141,"310",$CM$4:$CM$141)</f>
        <v>0</v>
      </c>
      <c r="CN149" s="186">
        <f>SUMIF($E$4:$E$141,"310",$CN$4:$CN$141)</f>
        <v>0</v>
      </c>
      <c r="CO149" s="186">
        <f>SUMIF($E$4:$E$141,"310",$CO$4:$CO$141)</f>
        <v>0</v>
      </c>
      <c r="CP149" s="186">
        <f>SUMIF($E$4:$E$141,"310",$CP$4:$CP$141)</f>
        <v>0</v>
      </c>
      <c r="CQ149" s="186">
        <f>SUMIF($E$4:$E$141,"310",$CQ$4:$CQ$141)</f>
        <v>0</v>
      </c>
      <c r="CR149" s="186">
        <f>SUMIF($E$4:$E$141,"310",$CR$4:$CR$141)</f>
        <v>0</v>
      </c>
      <c r="CS149" s="186">
        <f>SUMIF($E$4:$E$141,"310",$CS$4:$CS$141)</f>
        <v>0</v>
      </c>
      <c r="CT149" s="186">
        <f>SUMIF($E$4:$E$141,"310",$CT$4:$CT$141)</f>
        <v>0</v>
      </c>
      <c r="CU149" s="186">
        <f>SUMIF($E$4:$E$141,"310",$CU$4:$CU$141)</f>
        <v>52284785</v>
      </c>
      <c r="CV149" s="186">
        <f>SUMIF($E$4:$E$141,"310",$CV$4:$CV$141)</f>
        <v>3500000</v>
      </c>
      <c r="CW149" s="186">
        <f>SUMIF($E$4:$E$141,"310",$CW$4:$CW$141)</f>
        <v>0</v>
      </c>
      <c r="CX149" s="186">
        <f>SUMIF($E$4:$E$141,"310",$CX$4:$CX$141)</f>
        <v>0</v>
      </c>
      <c r="CY149" s="186">
        <f>SUMIF($E$4:$E$141,"310",$CY$4:$CY$141)</f>
        <v>0</v>
      </c>
      <c r="CZ149" s="186">
        <f>SUMIF($E$4:$E$141,"310",$CZ$4:$CZ$141)</f>
        <v>0</v>
      </c>
      <c r="DA149" s="192">
        <f>SUMIF($E$4:$E$141,"310",$DA$4:$DA$141)</f>
        <v>45804457</v>
      </c>
      <c r="DB149" s="43">
        <f t="shared" si="166"/>
        <v>0.32835157806691451</v>
      </c>
      <c r="DC149" s="46">
        <f t="shared" si="167"/>
        <v>353306298</v>
      </c>
      <c r="DD149" s="189">
        <f>SUMIF($E$4:$E$141,"310",$DD$4:$DD$141)</f>
        <v>0</v>
      </c>
      <c r="DE149" s="189">
        <f>SUMIF($E$4:$E$141,"310",$DE$4:$DE$141)</f>
        <v>50905083</v>
      </c>
      <c r="DF149" s="189">
        <f>SUMIF($E$4:$E$141,"310",$DF$4:$DF$141)</f>
        <v>0</v>
      </c>
      <c r="DG149" s="189">
        <f>SUMIF($E$4:$E$141,"310",$DG$4:$DG$141)</f>
        <v>167990457</v>
      </c>
      <c r="DH149" s="189">
        <f>SUMIF($E$4:$E$141,"310",$DH$4:$DH$141)</f>
        <v>0</v>
      </c>
      <c r="DI149" s="189">
        <f>SUMIF($E$4:$E$141,"310",$DI$4:$DI$141)</f>
        <v>0</v>
      </c>
      <c r="DJ149" s="189">
        <f>SUMIF($E$4:$E$141,"310",$DJ$4:$DJ$141)</f>
        <v>0</v>
      </c>
      <c r="DK149" s="189">
        <f>SUMIF($E$4:$E$141,"310",$DK$4:$DK$141)</f>
        <v>0</v>
      </c>
      <c r="DL149" s="189">
        <f>SUMIF($E$4:$E$141,"310",$DL$4:$DL$141)</f>
        <v>0</v>
      </c>
      <c r="DM149" s="189">
        <f>SUMIF($E$4:$E$141,"310",$DM$4:$DM$141)</f>
        <v>0</v>
      </c>
      <c r="DN149" s="193">
        <f>SUMIF($E$4:$E$141,"310",$DN$4:$DN$141)</f>
        <v>0</v>
      </c>
      <c r="DO149" s="193">
        <f>SUMIF($E$4:$E$141,"310",$DO$4:$DO$141)</f>
        <v>0</v>
      </c>
      <c r="DP149" s="193">
        <f>SUMIF($E$4:$E$141,"310",$DP$4:$DP$141)</f>
        <v>0</v>
      </c>
      <c r="DQ149" s="193">
        <f>SUMIF($E$4:$E$141,"310",$DQ$4:$DQ$141)</f>
        <v>0</v>
      </c>
      <c r="DR149" s="193">
        <f>SUMIF($E$4:$E$141,"310",$DR$4:$DR$141)</f>
        <v>0</v>
      </c>
      <c r="DS149" s="193">
        <f>SUMIF($E$4:$E$141,"310",$DS$4:$DS$141)</f>
        <v>0</v>
      </c>
      <c r="DT149" s="193">
        <f>SUMIF($E$4:$E$141,"310",$DT$4:$DT$141)</f>
        <v>23715215</v>
      </c>
      <c r="DU149" s="193">
        <f>SUMIF($E$4:$E$141,"310",$DU$4:$DU$141)</f>
        <v>50500000</v>
      </c>
      <c r="DV149" s="193">
        <f>SUMIF($E$4:$E$141,"310",$DV$4:$DV$141)</f>
        <v>0</v>
      </c>
      <c r="DW149" s="193">
        <f>SUMIF($E$4:$E$141,"310",$DW$4:$DW$141)</f>
        <v>0</v>
      </c>
      <c r="DX149" s="193">
        <f>SUMIF($E$4:$E$141,"310",$DX$4:$DX$141)</f>
        <v>0</v>
      </c>
      <c r="DY149" s="193">
        <f>SUMIF($E$4:$E$141,"310",$DY$4:$DY$141)</f>
        <v>0</v>
      </c>
      <c r="DZ149" s="193">
        <f>SUMIF($E$4:$E$141,"310",$DZ$4:$DZ$141)</f>
        <v>60195543</v>
      </c>
      <c r="EB149" s="47">
        <f t="shared" si="168"/>
        <v>1076000000</v>
      </c>
      <c r="EC149" s="47">
        <f t="shared" si="169"/>
        <v>1076000000</v>
      </c>
      <c r="ED149" s="47">
        <f t="shared" si="170"/>
        <v>1076000000</v>
      </c>
    </row>
    <row r="150" spans="3:136" x14ac:dyDescent="0.3">
      <c r="C150" s="196"/>
      <c r="D150" s="184" t="s">
        <v>402</v>
      </c>
      <c r="E150" s="177">
        <v>410</v>
      </c>
      <c r="F150" s="185"/>
      <c r="G150" s="186">
        <f>SUMIF($E$4:$E$141,"410",$G$4:$G$141)</f>
        <v>9091266497</v>
      </c>
      <c r="H150" s="187">
        <f>SUMIF($E$4:$E$141,"410",$H$4:$H$141)</f>
        <v>0</v>
      </c>
      <c r="I150" s="187">
        <f>SUMIF($E$4:$E$142,"410",$I$4:$I$142)</f>
        <v>0</v>
      </c>
      <c r="J150" s="187">
        <f>SUMIF($E$4:$E$142,"410",$J$4:$J$142)</f>
        <v>0</v>
      </c>
      <c r="K150" s="187">
        <f>SUMIF($E$4:$E$142,"410",$K$4:$K$142)</f>
        <v>0</v>
      </c>
      <c r="L150" s="186">
        <f>SUMIF($E$4:$E$141,"410",$L$4:$L$141)</f>
        <v>0</v>
      </c>
      <c r="M150" s="185">
        <f>SUMIF($E$4:$E$141,"410",$M$4:$M$141)</f>
        <v>0</v>
      </c>
      <c r="N150" s="185">
        <f>SUMIF($E$4:$E$141,"410",$N$4:$N$141)</f>
        <v>0</v>
      </c>
      <c r="O150" s="185">
        <f>SUMIF($E$4:$E$141,"410",$O$4:$O$141)</f>
        <v>2419061682</v>
      </c>
      <c r="P150" s="185">
        <f>SUMIF($E$4:$E$141,"410",$P$4:$P$141)</f>
        <v>45960534</v>
      </c>
      <c r="Q150" s="185">
        <f>SUMIF($E$4:$E$141,"410",$Q$4:$Q$141)</f>
        <v>45960534</v>
      </c>
      <c r="R150" s="185">
        <f>SUMIF($E$4:$E$141,"410",$R$4:$R$141)</f>
        <v>85960534</v>
      </c>
      <c r="S150" s="185">
        <f>SUMIF($E$4:$E$141,"410",$S$4:$S$141)</f>
        <v>797458202</v>
      </c>
      <c r="T150" s="185">
        <f>SUMIF($E$4:$E$141,"410",$T$4:$T$141)</f>
        <v>30000000</v>
      </c>
      <c r="U150" s="185">
        <f>SUMIF($E$4:$E$141,"410",$U$4:$U$141)</f>
        <v>60000000</v>
      </c>
      <c r="V150" s="185">
        <f>SUMIF($E$4:$E$141,"410",$V$4:$V$141)</f>
        <v>20000000</v>
      </c>
      <c r="W150" s="185">
        <f>SUMIF($E$4:$E$141,"410",$W$4:$W$141)</f>
        <v>3457651561</v>
      </c>
      <c r="X150" s="185">
        <f>SUMIF($E$4:$E$141,"410",$X$4:$X$141)</f>
        <v>90000000</v>
      </c>
      <c r="Y150" s="185">
        <f>SUMIF($E$4:$E$141,"410",$Y$4:$Y$141)</f>
        <v>52565530</v>
      </c>
      <c r="Z150" s="185">
        <f>SUMIF($E$4:$E$130,"410",$Z$4:$Z$130)</f>
        <v>1116053744</v>
      </c>
      <c r="AA150" s="185">
        <f>SUMIF($E$4:$E$130,"410",$AA$4:$AA$130)</f>
        <v>0</v>
      </c>
      <c r="AB150" s="185">
        <f>SUMIF($E$4:$E$141,"410",$AB$4:$AB$141)</f>
        <v>453752865</v>
      </c>
      <c r="AC150" s="185">
        <f>SUMIF($E$4:$E$141,"410",$AC$4:$AC$141)</f>
        <v>0</v>
      </c>
      <c r="AD150" s="185">
        <f>SUMIF($E$4:$E$141,"410",$AD$4:$AD$141)</f>
        <v>416841311</v>
      </c>
      <c r="AE150" s="188">
        <f t="shared" si="161"/>
        <v>0.68088187064394667</v>
      </c>
      <c r="AF150" s="186">
        <f>SUMIF($E$4:$E$141,"410",$AF$4:$AF$141)</f>
        <v>6190078539</v>
      </c>
      <c r="AG150" s="186">
        <f>SUMIF($E$4:$E$141,"410",$AG$4:$AG$141)</f>
        <v>0</v>
      </c>
      <c r="AH150" s="186">
        <f>SUMIF($E$4:$E$141,"410",$AH$4:$AH$141)</f>
        <v>0</v>
      </c>
      <c r="AI150" s="186">
        <f>SUMIF($E$4:$E$141,"410",$AI$4:$AI$141)</f>
        <v>0</v>
      </c>
      <c r="AJ150" s="186">
        <f>SUMIF($E$4:$E$141,"410",$AJ$4:$AJ$141)</f>
        <v>0</v>
      </c>
      <c r="AK150" s="186">
        <f>SUMIF($E$4:$E$141,"410",$AK$4:$AK$141)</f>
        <v>0</v>
      </c>
      <c r="AL150" s="186">
        <f>SUMIF($E$4:$E$141,"410",$AL$4:$AL$141)</f>
        <v>0</v>
      </c>
      <c r="AM150" s="186">
        <f>SUMIF($E$4:$E$141,"410",$AM$4:$AM$141)</f>
        <v>0</v>
      </c>
      <c r="AN150" s="186">
        <f>SUMIF($E$4:$E$141,"410",$AN$4:$AN$141)</f>
        <v>2092840355</v>
      </c>
      <c r="AO150" s="186">
        <f>SUMIF($E$4:$E$141,"410",$AO$4:$AO$141)</f>
        <v>3200000</v>
      </c>
      <c r="AP150" s="186">
        <f>SUMIF($E$4:$E$141,"410",$AP$4:$AP$141)</f>
        <v>22983702</v>
      </c>
      <c r="AQ150" s="186">
        <f>SUMIF($E$4:$E$141,"410",$AQ$4:$AQ$141)</f>
        <v>7005939</v>
      </c>
      <c r="AR150" s="186">
        <f>SUMIF($E$4:$E$141,"410",$AR$4:$AR$141)</f>
        <v>751646051</v>
      </c>
      <c r="AS150" s="186">
        <f>SUMIF($E$4:$E$141,"410",$AS$4:$AS$141)</f>
        <v>2114681</v>
      </c>
      <c r="AT150" s="186">
        <f>SUMIF($E$4:$E$141,"410",$AT$4:$AT$141)</f>
        <v>10477239</v>
      </c>
      <c r="AU150" s="186">
        <f>SUMIF($E$4:$E$141,"410",$AU$4:$AU$141)</f>
        <v>2768519</v>
      </c>
      <c r="AV150" s="186">
        <f>SUMIF($E$4:$E$141,"410",$AV$4:$AV$141)</f>
        <v>1778728458</v>
      </c>
      <c r="AW150" s="186">
        <f>SUMIF($E$4:$E$141,"410",$AW$4:$AW$141)</f>
        <v>90000000</v>
      </c>
      <c r="AX150" s="186">
        <f>SUMIF($E$4:$E$141,"410",$AX$4:$AX$141)</f>
        <v>46996115</v>
      </c>
      <c r="AY150" s="186">
        <f>SUMIF($E$4:$E$141,"410",$AY$4:$AY$141)</f>
        <v>819963485</v>
      </c>
      <c r="AZ150" s="186">
        <f>SUMIF($E$4:$E$141,"410",$AZ$4:$AZ$141)</f>
        <v>0</v>
      </c>
      <c r="BA150" s="186">
        <f>SUMIF($E$4:$E$141,"410",$BA$4:$BA$141)</f>
        <v>285623667</v>
      </c>
      <c r="BB150" s="186">
        <f>SUMIF($E$4:$E$141,"410",$BB$4:$BB$141)</f>
        <v>0</v>
      </c>
      <c r="BC150" s="186">
        <f>SUMIF($E$4:$E$141,"410",$BC$4:$BC$141)</f>
        <v>275730328</v>
      </c>
      <c r="BD150" s="171">
        <f t="shared" si="162"/>
        <v>0.31911812935605333</v>
      </c>
      <c r="BE150" s="46">
        <f t="shared" si="163"/>
        <v>2901187958</v>
      </c>
      <c r="BF150" s="189">
        <f>SUMIF($E$4:$E$141,"410",$BF$4:$BF$141)</f>
        <v>0</v>
      </c>
      <c r="BG150" s="189">
        <f>SUMIF($E$4:$E$141,"410",$BG$4:$BG$141)</f>
        <v>0</v>
      </c>
      <c r="BH150" s="189">
        <f>SUMIF($E$4:$E$141,"410",$BH$4:$BH$141)</f>
        <v>0</v>
      </c>
      <c r="BI150" s="189">
        <f>SUMIF($E$4:$E$141,"410",$BI$4:$BI$141)</f>
        <v>0</v>
      </c>
      <c r="BJ150" s="189">
        <f>SUMIF($E$4:$E$141,"410",$BJ$4:$BJ$141)</f>
        <v>0</v>
      </c>
      <c r="BK150" s="189">
        <f>SUMIF($E$4:$E$141,"410",$BK$4:$BK$141)</f>
        <v>0</v>
      </c>
      <c r="BL150" s="189">
        <f>SUMIF($E$4:$E$141,"410",$BL$4:$BL$141)</f>
        <v>0</v>
      </c>
      <c r="BM150" s="189">
        <f>SUMIF($E$4:$E$141,"410",$BM$4:$BM$141)</f>
        <v>326221327</v>
      </c>
      <c r="BN150" s="189">
        <f>SUMIF($E$4:$E$141,"410",$BN$4:$BN$141)</f>
        <v>42760534</v>
      </c>
      <c r="BO150" s="189">
        <f>SUMIF($E$4:$E$141,"410",$BO$4:$BO$141)</f>
        <v>22976832</v>
      </c>
      <c r="BP150" s="189">
        <f>SUMIF($E$4:$E$141,"410",$BP$4:$BP$141)</f>
        <v>78954595</v>
      </c>
      <c r="BQ150" s="189">
        <f>SUMIF($E$4:$E$141,"410",$BQ$4:$BQ$141)</f>
        <v>45812151</v>
      </c>
      <c r="BR150" s="189">
        <f>SUMIF($E$4:$E$141,"410",$BR$4:$BR$141)</f>
        <v>27885319</v>
      </c>
      <c r="BS150" s="189">
        <f>SUMIF($E$4:$E$141,"410",$BS$4:$BS$141)</f>
        <v>49522761</v>
      </c>
      <c r="BT150" s="189">
        <f>SUMIF($E$4:$E$141,"410",$BT$4:$BT$141)</f>
        <v>17231481</v>
      </c>
      <c r="BU150" s="189">
        <f>SUMIF($E$4:$E$141,"410",$BU$4:$BU$141)</f>
        <v>1678923103</v>
      </c>
      <c r="BV150" s="189">
        <f>SUMIF($E$4:$E$141,"410",$BV$4:$BV$141)</f>
        <v>0</v>
      </c>
      <c r="BW150" s="189">
        <f>SUMIF($E$4:$E$141,"410",$BW$4:$BW$141)</f>
        <v>5569415</v>
      </c>
      <c r="BX150" s="189">
        <f>SUMIF($E$4:$E$141,"410",$BX$4:$BX$141)</f>
        <v>296090259</v>
      </c>
      <c r="BY150" s="189">
        <f>SUMIF($E$4:$E$141,"410",$BY$4:$BY$141)</f>
        <v>0</v>
      </c>
      <c r="BZ150" s="189">
        <f>SUMIF($E$4:$E$141,"410",$BZ$4:$BZ$141)</f>
        <v>168129198</v>
      </c>
      <c r="CA150" s="189">
        <f>SUMIF($E$4:$E$141,"410",$CA$4:$CA$141)</f>
        <v>0</v>
      </c>
      <c r="CB150" s="190">
        <f>SUMIF($E$4:$E$141,"410",$CB$4:$CB$141)</f>
        <v>141110983</v>
      </c>
      <c r="CC150" s="191">
        <f t="shared" si="164"/>
        <v>0.48614241409141701</v>
      </c>
      <c r="CD150" s="46">
        <f t="shared" si="165"/>
        <v>4419650242</v>
      </c>
      <c r="CE150" s="186">
        <f>SUMIF($E$4:$E$141,"410",$CE$4:$CE$141)</f>
        <v>0</v>
      </c>
      <c r="CF150" s="186">
        <f>SUMIF($E$4:$E$141,"410",$CF$4:$CF$141)</f>
        <v>0</v>
      </c>
      <c r="CG150" s="186">
        <f>SUMIF($E$4:$E$141,"410",$CG$4:$CG$141)</f>
        <v>0</v>
      </c>
      <c r="CH150" s="186">
        <f>SUMIF($E$4:$E$141,"410",$CH$4:$CH$141)</f>
        <v>0</v>
      </c>
      <c r="CI150" s="186">
        <f>SUMIF($E$4:$E$141,"410",$CI$4:$CI$141)</f>
        <v>0</v>
      </c>
      <c r="CJ150" s="186">
        <f>SUMIF($E$4:$E$141,"410",$CJ$4:$CJ$141)</f>
        <v>0</v>
      </c>
      <c r="CK150" s="186">
        <f>SUMIF($E$4:$E$141,"410",$CK$4:$CK$141)</f>
        <v>0</v>
      </c>
      <c r="CL150" s="186">
        <f>SUMIF($E$4:$E$141,"410",$CL$4:$CL$141)</f>
        <v>1586639467</v>
      </c>
      <c r="CM150" s="186">
        <f>SUMIF($E$4:$E$141,"410",$CM$4:$CM$141)</f>
        <v>3200000</v>
      </c>
      <c r="CN150" s="186">
        <f>SUMIF($E$4:$E$141,"410",$CN$4:$CN$141)</f>
        <v>22983702</v>
      </c>
      <c r="CO150" s="186">
        <f>SUMIF($E$4:$E$141,"410",$CO$4:$CO$141)</f>
        <v>4865259</v>
      </c>
      <c r="CP150" s="186">
        <f>SUMIF($E$4:$E$141,"410",$CP$4:$CP$141)</f>
        <v>580180670</v>
      </c>
      <c r="CQ150" s="186">
        <f>SUMIF($E$4:$E$141,"410",$CQ$4:$CQ$141)</f>
        <v>2114681</v>
      </c>
      <c r="CR150" s="186">
        <f>SUMIF($E$4:$E$141,"410",$CR$4:$CR$141)</f>
        <v>10252686</v>
      </c>
      <c r="CS150" s="186">
        <f>SUMIF($E$4:$E$141,"410",$CS$4:$CS$141)</f>
        <v>2768519</v>
      </c>
      <c r="CT150" s="186">
        <f>SUMIF($E$4:$E$141,"410",$CT$4:$CT$141)</f>
        <v>1078397268</v>
      </c>
      <c r="CU150" s="186">
        <f>SUMIF($E$4:$E$141,"410",$CU$4:$CU$141)</f>
        <v>80031559</v>
      </c>
      <c r="CV150" s="186">
        <f>SUMIF($E$4:$E$141,"410",$CV$4:$CV$141)</f>
        <v>15663110</v>
      </c>
      <c r="CW150" s="186">
        <f>SUMIF($E$4:$E$141,"410",$CW$4:$CW$141)</f>
        <v>608628848</v>
      </c>
      <c r="CX150" s="186">
        <f>SUMIF($E$4:$E$141,"410",$CX$4:$CX$141)</f>
        <v>0</v>
      </c>
      <c r="CY150" s="186">
        <f>SUMIF($E$4:$E$141,"410",$CY$4:$CY$141)</f>
        <v>225553524</v>
      </c>
      <c r="CZ150" s="186">
        <f>SUMIF($E$4:$E$141,"410",$CZ$4:$CZ$141)</f>
        <v>0</v>
      </c>
      <c r="DA150" s="192">
        <f>SUMIF($E$4:$E$141,"410",$DA$4:$DA$141)</f>
        <v>198370949</v>
      </c>
      <c r="DB150" s="43">
        <f t="shared" si="166"/>
        <v>0.51385758590858299</v>
      </c>
      <c r="DC150" s="46">
        <f t="shared" si="167"/>
        <v>4671616255</v>
      </c>
      <c r="DD150" s="189">
        <f>SUMIF($E$4:$E$141,"410",$DD$4:$DD$141)</f>
        <v>0</v>
      </c>
      <c r="DE150" s="189">
        <f>SUMIF($E$4:$E$141,"410",$DE$4:$DE$141)</f>
        <v>0</v>
      </c>
      <c r="DF150" s="189">
        <f>SUMIF($E$4:$E$141,"410",$DF$4:$DF$141)</f>
        <v>0</v>
      </c>
      <c r="DG150" s="189">
        <f>SUMIF($E$4:$E$141,"410",$DG$4:$DG$141)</f>
        <v>0</v>
      </c>
      <c r="DH150" s="189">
        <f>SUMIF($E$4:$E$141,"410",$DH$4:$DH$141)</f>
        <v>0</v>
      </c>
      <c r="DI150" s="189">
        <f>SUMIF($E$4:$E$141,"410",$DI$4:$DI$141)</f>
        <v>0</v>
      </c>
      <c r="DJ150" s="189">
        <f>SUMIF($E$4:$E$141,"410",$DJ$4:$DJ$141)</f>
        <v>0</v>
      </c>
      <c r="DK150" s="189">
        <f>SUMIF($E$4:$E$141,"410",$DK$4:$DK$141)</f>
        <v>832422215</v>
      </c>
      <c r="DL150" s="189">
        <f>SUMIF($E$4:$E$141,"410",$DL$4:$DL$141)</f>
        <v>42760534</v>
      </c>
      <c r="DM150" s="189">
        <f>SUMIF($E$4:$E$141,"410",$DM$4:$DM$141)</f>
        <v>22976832</v>
      </c>
      <c r="DN150" s="193">
        <f>SUMIF($E$4:$E$141,"410",$DN$4:$DN$141)</f>
        <v>81095275</v>
      </c>
      <c r="DO150" s="193">
        <f>SUMIF($E$4:$E$141,"410",$DO$4:$DO$141)</f>
        <v>217277532</v>
      </c>
      <c r="DP150" s="193">
        <f>SUMIF($E$4:$E$141,"410",$DP$4:$DP$141)</f>
        <v>27885319</v>
      </c>
      <c r="DQ150" s="193">
        <f>SUMIF($E$4:$E$141,"410",$DQ$4:$DQ$141)</f>
        <v>49747314</v>
      </c>
      <c r="DR150" s="193">
        <f>SUMIF($E$4:$E$141,"410",$DR$4:$DR$141)</f>
        <v>17231481</v>
      </c>
      <c r="DS150" s="193">
        <f>SUMIF($E$4:$E$141,"410",$DS$4:$DS$141)</f>
        <v>2379254293</v>
      </c>
      <c r="DT150" s="193">
        <f>SUMIF($E$4:$E$141,"410",$DT$4:$DT$141)</f>
        <v>9968441</v>
      </c>
      <c r="DU150" s="193">
        <f>SUMIF($E$4:$E$141,"410",$DU$4:$DU$141)</f>
        <v>36902420</v>
      </c>
      <c r="DV150" s="193">
        <f>SUMIF($E$4:$E$141,"410",$DV$4:$DV$141)</f>
        <v>507424896</v>
      </c>
      <c r="DW150" s="193">
        <f>SUMIF($E$4:$E$141,"410",$DW$4:$DW$141)</f>
        <v>0</v>
      </c>
      <c r="DX150" s="193">
        <f>SUMIF($E$4:$E$141,"410",$DX$4:$DX$141)</f>
        <v>228199341</v>
      </c>
      <c r="DY150" s="193">
        <f>SUMIF($E$4:$E$141,"410",$DY$4:$DY$141)</f>
        <v>0</v>
      </c>
      <c r="DZ150" s="193">
        <f>SUMIF($E$4:$E$141,"410",$DZ$4:$DZ$141)</f>
        <v>218470362</v>
      </c>
      <c r="EB150" s="47">
        <f t="shared" si="168"/>
        <v>9091266497</v>
      </c>
      <c r="EC150" s="47">
        <f t="shared" si="169"/>
        <v>9091266497</v>
      </c>
      <c r="ED150" s="47">
        <f t="shared" si="170"/>
        <v>9091266497</v>
      </c>
      <c r="EF150" s="63"/>
    </row>
    <row r="151" spans="3:136" ht="14.25" customHeight="1" x14ac:dyDescent="0.3">
      <c r="C151" s="196"/>
      <c r="D151" s="197" t="s">
        <v>403</v>
      </c>
      <c r="E151" s="177">
        <v>510</v>
      </c>
      <c r="F151" s="185"/>
      <c r="G151" s="186">
        <f>SUMIF($E$4:$E$141,"510",$G$4:$G$141)</f>
        <v>2989288038</v>
      </c>
      <c r="H151" s="187">
        <f>SUMIF($E$4:$E$141,"510",$H$4:$H$141)</f>
        <v>23655791</v>
      </c>
      <c r="I151" s="187">
        <f>SUMIF($E$4:$E$142,"510",$I$4:$I$142)</f>
        <v>1151070473</v>
      </c>
      <c r="J151" s="187">
        <f>SUMIF($E$4:$E$142,"510",$J$4:$J$142)</f>
        <v>80644090</v>
      </c>
      <c r="K151" s="187">
        <f>SUMIF($E$4:$E$142,"510",$K$4:$K$142)</f>
        <v>0</v>
      </c>
      <c r="L151" s="186">
        <f>SUMIF($E$4:$E$141,"510",$L$4:$L$141)</f>
        <v>0</v>
      </c>
      <c r="M151" s="185">
        <f>SUMIF($E$4:$E$141,"510",$M$4:$M$141)</f>
        <v>0</v>
      </c>
      <c r="N151" s="185">
        <f>SUMIF($E$4:$E$141,"510",$N$4:$N$141)</f>
        <v>0</v>
      </c>
      <c r="O151" s="185">
        <f>SUMIF($E$4:$E$141,"510",$O$4:$O$141)</f>
        <v>0</v>
      </c>
      <c r="P151" s="185">
        <f>SUMIF($E$4:$E$141,"510",$P$4:$P$141)</f>
        <v>15000000</v>
      </c>
      <c r="Q151" s="185">
        <f>SUMIF($E$4:$E$141,"510",$Q$4:$Q$141)</f>
        <v>15000000</v>
      </c>
      <c r="R151" s="185">
        <f>SUMIF($E$4:$E$141,"510",$R$4:$R$141)</f>
        <v>15000000</v>
      </c>
      <c r="S151" s="185">
        <f>SUMIF($E$4:$E$141,"510",$S$4:$S$141)</f>
        <v>0</v>
      </c>
      <c r="T151" s="185">
        <f>SUMIF($E$4:$E$141,"510",$T$4:$T$141)</f>
        <v>0</v>
      </c>
      <c r="U151" s="185">
        <f>SUMIF($E$4:$E$141,"510",$U$4:$U$141)</f>
        <v>0</v>
      </c>
      <c r="V151" s="185">
        <f>SUMIF($E$4:$E$141,"510",$V$4:$V$141)</f>
        <v>0</v>
      </c>
      <c r="W151" s="185">
        <f>SUMIF($E$4:$E$141,"510",$W$4:$W$141)</f>
        <v>0</v>
      </c>
      <c r="X151" s="185">
        <f>SUMIF($E$4:$E$141,"510",$X$4:$X$141)</f>
        <v>236000000</v>
      </c>
      <c r="Y151" s="185">
        <f>SUMIF($E$4:$E$141,"510",$Y$4:$Y$141)</f>
        <v>162000000</v>
      </c>
      <c r="Z151" s="185">
        <f>SUMIF($E$4:$E$141,"510",$Z$4:$Z$141)</f>
        <v>0</v>
      </c>
      <c r="AA151" s="185">
        <f>SUMIF($E$4:$E$141,"510",$AA$4:$AA$141)</f>
        <v>0</v>
      </c>
      <c r="AB151" s="185"/>
      <c r="AC151" s="185">
        <f>SUMIF($E$4:$E$141,"510",$AC$4:$AC$141)</f>
        <v>972811018</v>
      </c>
      <c r="AD151" s="185">
        <f>SUMIF($E$4:$E$141,"510",$AD$4:$AD$141)</f>
        <v>318106666</v>
      </c>
      <c r="AE151" s="188">
        <f t="shared" si="161"/>
        <v>0.79235901388235508</v>
      </c>
      <c r="AF151" s="186">
        <f>SUMIF($E$4:$E$141,"510",$AF$4:$AF$141)</f>
        <v>2368589322</v>
      </c>
      <c r="AG151" s="186">
        <f>SUMIF($E$4:$E$141,"510",$AG$4:$AG$141)</f>
        <v>0</v>
      </c>
      <c r="AH151" s="186">
        <f>SUMIF($E$4:$E$141,"510",$AH$4:$AH$141)</f>
        <v>1098816103</v>
      </c>
      <c r="AI151" s="186">
        <f>SUMIF($E$4:$E$141,"510",$AI$4:$AI$141)</f>
        <v>76644090</v>
      </c>
      <c r="AJ151" s="186">
        <f>SUMIF($E$4:$E$141,"510",$AJ$4:$AJ$141)</f>
        <v>0</v>
      </c>
      <c r="AK151" s="186">
        <f>SUMIF($E$4:$E$141,"510",$AK$4:$AK$141)</f>
        <v>0</v>
      </c>
      <c r="AL151" s="186">
        <f>SUMIF($E$4:$E$141,"510",$AL$4:$AL$141)</f>
        <v>0</v>
      </c>
      <c r="AM151" s="186">
        <f>SUMIF($E$4:$E$141,"510",$AM$4:$AM$141)</f>
        <v>0</v>
      </c>
      <c r="AN151" s="186">
        <f>SUMIF($E$4:$E$141,"510",$AN$4:$AN$141)</f>
        <v>0</v>
      </c>
      <c r="AO151" s="186">
        <f>SUMIF($E$4:$E$141,"510",$AO$4:$AO$141)</f>
        <v>0</v>
      </c>
      <c r="AP151" s="186">
        <f>SUMIF($E$4:$E$141,"510",$AP$4:$AP$141)</f>
        <v>14999964</v>
      </c>
      <c r="AQ151" s="186">
        <f>SUMIF($E$4:$E$141,"510",$AQ$4:$AQ$141)</f>
        <v>0</v>
      </c>
      <c r="AR151" s="186">
        <f>SUMIF($E$4:$E$141,"510",$AR$4:$AR$141)</f>
        <v>0</v>
      </c>
      <c r="AS151" s="186">
        <f>SUMIF($E$4:$E$141,"510",$AS$4:$AS$141)</f>
        <v>0</v>
      </c>
      <c r="AT151" s="186">
        <f>SUMIF($E$4:$E$141,"510",$AT$4:$AT$141)</f>
        <v>0</v>
      </c>
      <c r="AU151" s="186">
        <f>SUMIF($E$4:$E$141,"510",$AU$4:$AU$141)</f>
        <v>0</v>
      </c>
      <c r="AV151" s="186">
        <f>SUMIF($E$4:$E$141,"510",$AV$4:$AV$141)</f>
        <v>0</v>
      </c>
      <c r="AW151" s="186">
        <f>SUMIF($E$4:$E$141,"510",$AW$4:$AW$141)</f>
        <v>186074655</v>
      </c>
      <c r="AX151" s="186">
        <f>SUMIF($E$4:$E$141,"510",$AX$4:$AX$141)</f>
        <v>161973333</v>
      </c>
      <c r="AY151" s="186">
        <f>SUMIF($E$4:$E$141,"510",$AY$4:$AY$141)</f>
        <v>0</v>
      </c>
      <c r="AZ151" s="186">
        <f>SUMIF($E$4:$E$141,"510",$AZ$4:$AZ$141)</f>
        <v>0</v>
      </c>
      <c r="BA151" s="186">
        <f>SUMIF($E$4:$E$141," 510",$BA$4:$BA$141)</f>
        <v>0</v>
      </c>
      <c r="BB151" s="186">
        <f>SUMIF($E$4:$E$141,"510",$BB$4:$BB$141)</f>
        <v>581330000</v>
      </c>
      <c r="BC151" s="186">
        <f>SUMIF($E$4:$E$141,"510",$BC$4:$BC$141)</f>
        <v>248751177</v>
      </c>
      <c r="BD151" s="171">
        <f t="shared" si="162"/>
        <v>0.20764098611764492</v>
      </c>
      <c r="BE151" s="46">
        <f t="shared" si="163"/>
        <v>620698716</v>
      </c>
      <c r="BF151" s="189">
        <f>SUMIF($E$4:$E$141,"510",$BF$4:$BF$141)</f>
        <v>23655791</v>
      </c>
      <c r="BG151" s="189">
        <f>SUMIF($E$4:$E$141,"510",$BG$4:$BG$141)</f>
        <v>52254370</v>
      </c>
      <c r="BH151" s="189">
        <f>SUMIF($E$4:$E$141,"510",$BH$4:$BH$141)</f>
        <v>4000000</v>
      </c>
      <c r="BI151" s="189">
        <f>SUMIF($E$4:$E$141,"510",$BI$4:$BI$141)</f>
        <v>0</v>
      </c>
      <c r="BJ151" s="189">
        <f>SUMIF($E$4:$E$141,"510",$BJ$4:$BJ$141)</f>
        <v>0</v>
      </c>
      <c r="BK151" s="189">
        <f>SUMIF($E$4:$E$141,"510",$BK$4:$BK$141)</f>
        <v>0</v>
      </c>
      <c r="BL151" s="189">
        <f>SUMIF($E$4:$E$141,"510",$BL$4:$BL$141)</f>
        <v>0</v>
      </c>
      <c r="BM151" s="189">
        <f>SUMIF($E$4:$E$141,"510",$BM$4:$BM$141)</f>
        <v>0</v>
      </c>
      <c r="BN151" s="189">
        <f>SUMIF($E$4:$E$141,"510",$BN$4:$BN$141)</f>
        <v>15000000</v>
      </c>
      <c r="BO151" s="189">
        <f>SUMIF($E$4:$E$141,"510",$BO$4:$BO$141)</f>
        <v>36</v>
      </c>
      <c r="BP151" s="189">
        <f>SUMIF($E$4:$E$141,"510",$BP$4:$BP$141)</f>
        <v>15000000</v>
      </c>
      <c r="BQ151" s="189">
        <f>SUMIF($E$4:$E$141,"510",$BQ$4:$BQ$141)</f>
        <v>0</v>
      </c>
      <c r="BR151" s="189">
        <f>SUMIF($E$4:$E$141,"510",$BR$4:$BR$141)</f>
        <v>0</v>
      </c>
      <c r="BS151" s="189">
        <f>SUMIF($E$4:$E$141,"510",$BS$4:$BS$141)</f>
        <v>0</v>
      </c>
      <c r="BT151" s="189">
        <f>SUMIF($E$4:$E$141,"510",$BT$4:$BT$141)</f>
        <v>0</v>
      </c>
      <c r="BU151" s="189">
        <f>SUMIF($E$4:$E$141,"510",$BU$4:$BU$141)</f>
        <v>0</v>
      </c>
      <c r="BV151" s="189">
        <f>SUMIF($E$4:$E$141,"510",$BV$4:$BV$141)</f>
        <v>49925345</v>
      </c>
      <c r="BW151" s="189">
        <f>SUMIF($E$4:$E$141,"510",$BW$4:$BW$141)</f>
        <v>26667</v>
      </c>
      <c r="BX151" s="189">
        <f>SUMIF($E$4:$E$141,"510",$BX$4:$BX$141)</f>
        <v>0</v>
      </c>
      <c r="BY151" s="189">
        <f>SUMIF($E$4:$E$141,"510",$BY$4:$BY$141)</f>
        <v>0</v>
      </c>
      <c r="BZ151" s="189">
        <f>SUMIF($E$4:$E$141,"510",$BZ$4:$BZ$141)</f>
        <v>0</v>
      </c>
      <c r="CA151" s="189">
        <f>SUMIF($E$4:$E$141,"510",$CA$4:$CA$141)</f>
        <v>391481018</v>
      </c>
      <c r="CB151" s="190">
        <f>SUMIF($E$4:$E$141,"510",$CB$4:$CB$141)</f>
        <v>69355489</v>
      </c>
      <c r="CC151" s="191">
        <f t="shared" si="164"/>
        <v>0.68986602086687243</v>
      </c>
      <c r="CD151" s="46">
        <f t="shared" si="165"/>
        <v>2062208244</v>
      </c>
      <c r="CE151" s="186">
        <f>SUMIF($E$4:$E$141,"510",$CE$4:$CE$141)</f>
        <v>0</v>
      </c>
      <c r="CF151" s="186">
        <f>SUMIF($E$4:$E$141,"510",$CF$4:$CF$141)</f>
        <v>1007608944</v>
      </c>
      <c r="CG151" s="186">
        <f>SUMIF($E$4:$E$141,"510",$CG$4:$CG$141)</f>
        <v>34615897</v>
      </c>
      <c r="CH151" s="186">
        <f>SUMIF($E$4:$E$141,"510",$CH$4:$CH$141)</f>
        <v>0</v>
      </c>
      <c r="CI151" s="186">
        <f>SUMIF($E$4:$E$141,"510",$CI$4:$CI$141)</f>
        <v>0</v>
      </c>
      <c r="CJ151" s="186">
        <f>SUMIF($E$4:$E$141,"510",$CJ$4:$CJ$141)</f>
        <v>0</v>
      </c>
      <c r="CK151" s="186">
        <f>SUMIF($E$4:$E$141,"510",$CK$4:$CK$141)</f>
        <v>0</v>
      </c>
      <c r="CL151" s="186">
        <f>SUMIF($E$4:$E$141,"510",$CL$4:$CL$141)</f>
        <v>0</v>
      </c>
      <c r="CM151" s="186">
        <f>SUMIF($E$4:$E$141,"510",$CM$4:$CM$141)</f>
        <v>0</v>
      </c>
      <c r="CN151" s="186">
        <f>SUMIF($E$4:$E$141,"510",$CN$4:$CN$141)</f>
        <v>14999964</v>
      </c>
      <c r="CO151" s="186">
        <f>SUMIF($E$4:$E$141,"510",$CO$4:$CO$141)</f>
        <v>0</v>
      </c>
      <c r="CP151" s="186">
        <f>SUMIF($E$4:$E$141,"510",$CP$4:$CP$141)</f>
        <v>0</v>
      </c>
      <c r="CQ151" s="186">
        <f>SUMIF($E$4:$E$141,"510",$CQ$4:$CQ$141)</f>
        <v>0</v>
      </c>
      <c r="CR151" s="186">
        <f>SUMIF($E$4:$E$141,"510",$CR$4:$CR$141)</f>
        <v>0</v>
      </c>
      <c r="CS151" s="186">
        <f>SUMIF($E$4:$E$141,"510",$CS$4:$CS$141)</f>
        <v>0</v>
      </c>
      <c r="CT151" s="186">
        <f>SUMIF($E$4:$E$141,"510",$CT$4:$CT$141)</f>
        <v>0</v>
      </c>
      <c r="CU151" s="186">
        <f>SUMIF($E$4:$E$141,"510",$CU$4:$CU$141)</f>
        <v>170115962</v>
      </c>
      <c r="CV151" s="186">
        <f>SUMIF($E$4:$E$141,"510",$CV$4:$CV$141)</f>
        <v>137575750</v>
      </c>
      <c r="CW151" s="186">
        <f>SUMIF($E$4:$E$141,"510",$CW$4:$CW$141)</f>
        <v>0</v>
      </c>
      <c r="CX151" s="186">
        <f>SUMIF($E$4:$E$141,"510",$CX$4:$CX$141)</f>
        <v>0</v>
      </c>
      <c r="CY151" s="186">
        <f>SUMIF($E$4:$E$141,"510",$CY$4:$CY$141)</f>
        <v>0</v>
      </c>
      <c r="CZ151" s="186">
        <f>SUMIF($E$4:$E$141,"510",$CZ$4:$CZ$141)</f>
        <v>467044183</v>
      </c>
      <c r="DA151" s="192">
        <f>SUMIF($E$4:$E$141,"510",$DA$4:$DA$141)</f>
        <v>230247544</v>
      </c>
      <c r="DB151" s="43">
        <f t="shared" si="166"/>
        <v>0.31013397913312757</v>
      </c>
      <c r="DC151" s="46">
        <f t="shared" si="167"/>
        <v>927079794</v>
      </c>
      <c r="DD151" s="189">
        <f>SUMIF($E$4:$E$141,"510",$DD$4:$DD$141)</f>
        <v>23655791</v>
      </c>
      <c r="DE151" s="189">
        <f>SUMIF($E$4:$E$141,"510",$DE$4:$DE$141)</f>
        <v>143461529</v>
      </c>
      <c r="DF151" s="189">
        <f>SUMIF($E$4:$E$141,"510",$DF$4:$DF$141)</f>
        <v>46028193</v>
      </c>
      <c r="DG151" s="189">
        <f>SUMIF($E$4:$E$141,"510",$DG$4:$DG$141)</f>
        <v>0</v>
      </c>
      <c r="DH151" s="189">
        <f>SUMIF($E$4:$E$141,"510",$DH$4:$DH$141)</f>
        <v>0</v>
      </c>
      <c r="DI151" s="189">
        <f>SUMIF($E$4:$E$141,"510",$DI$4:$DI$141)</f>
        <v>0</v>
      </c>
      <c r="DJ151" s="189">
        <f>SUMIF($E$4:$E$141,"510",$DJ$4:$DJ$141)</f>
        <v>0</v>
      </c>
      <c r="DK151" s="189">
        <f>SUMIF($E$4:$E$141,"510",$DK$4:$DK$141)</f>
        <v>0</v>
      </c>
      <c r="DL151" s="189">
        <f>SUMIF($E$4:$E$141,"510",$DL$4:$DL$141)</f>
        <v>15000000</v>
      </c>
      <c r="DM151" s="189">
        <f>SUMIF($E$4:$E$141,"510",$DM$4:$DM$141)</f>
        <v>36</v>
      </c>
      <c r="DN151" s="193">
        <f>SUMIF($E$4:$E$141,"510",$DN$4:$DN$141)</f>
        <v>15000000</v>
      </c>
      <c r="DO151" s="193">
        <f>SUMIF($E$4:$E$141,"510",$DO$4:$DO$141)</f>
        <v>0</v>
      </c>
      <c r="DP151" s="193">
        <f>SUMIF($E$4:$E$141,"510",$DP$4:$DP$141)</f>
        <v>0</v>
      </c>
      <c r="DQ151" s="193">
        <f>SUMIF($E$4:$E$141,"510",$DQ$4:$DQ$141)</f>
        <v>0</v>
      </c>
      <c r="DR151" s="193">
        <f>SUMIF($E$4:$E$141,"510",$DR$4:$DR$141)</f>
        <v>0</v>
      </c>
      <c r="DS151" s="193">
        <f>SUMIF($E$4:$E$141,"510",$DS$4:$DS$141)</f>
        <v>0</v>
      </c>
      <c r="DT151" s="193">
        <f>SUMIF($E$4:$E$141,"510",$DT$4:$DT$141)</f>
        <v>65884038</v>
      </c>
      <c r="DU151" s="193">
        <f>SUMIF($E$4:$E$141,"510",$DU$4:$DU$141)</f>
        <v>24424250</v>
      </c>
      <c r="DV151" s="193">
        <f>SUMIF($E$4:$E$141,"510",$DV$4:$DV$141)</f>
        <v>0</v>
      </c>
      <c r="DW151" s="193">
        <f>SUMIF($E$4:$E$141,"510",$DW$4:$DW$141)</f>
        <v>0</v>
      </c>
      <c r="DX151" s="193">
        <f>SUMIF($E$4:$E$141,"510",$DX$4:$DX$141)</f>
        <v>0</v>
      </c>
      <c r="DY151" s="193">
        <f>SUMIF($E$4:$E$141,"510",$DY$4:$DY$141)</f>
        <v>505766835</v>
      </c>
      <c r="DZ151" s="193">
        <f>SUMIF($E$4:$E$141,"510",$DZ$4:$DZ$141)</f>
        <v>87859122</v>
      </c>
      <c r="EB151" s="47">
        <f t="shared" si="168"/>
        <v>2989288038</v>
      </c>
      <c r="EC151" s="47">
        <f t="shared" si="169"/>
        <v>2989288038</v>
      </c>
      <c r="ED151" s="47">
        <f t="shared" si="170"/>
        <v>2989288038</v>
      </c>
    </row>
    <row r="152" spans="3:136" x14ac:dyDescent="0.3">
      <c r="C152" s="196"/>
      <c r="D152" s="184" t="s">
        <v>404</v>
      </c>
      <c r="E152" s="177">
        <v>520</v>
      </c>
      <c r="F152" s="185"/>
      <c r="G152" s="186">
        <f>SUMIF($E$4:$E$141,"520",$G$4:$G$141)</f>
        <v>4542835904</v>
      </c>
      <c r="H152" s="187">
        <f>SUMIF($E$4:$E$141,"520",$H$4:$H$141)</f>
        <v>0</v>
      </c>
      <c r="I152" s="187">
        <f>SUMIF($E$4:$E$141,"520",$I$4:$I$141)</f>
        <v>835000000</v>
      </c>
      <c r="J152" s="187">
        <f>SUMIF($E$4:$E$142,"520",$J$4:$J$142)</f>
        <v>0</v>
      </c>
      <c r="K152" s="187">
        <f>SUMIF($E$4:$E$142,"520",$K$4:$K$142)</f>
        <v>114000000</v>
      </c>
      <c r="L152" s="186">
        <f>SUMIF($E$4:$E$141,"520",$L$4:$L$141)</f>
        <v>0</v>
      </c>
      <c r="M152" s="185">
        <f>SUMIF($E$4:$E$141,"520",$M$4:$M$141)</f>
        <v>0</v>
      </c>
      <c r="N152" s="185">
        <f>SUMIF($E$4:$E$141,"520",$N$4:$N$141)</f>
        <v>0</v>
      </c>
      <c r="O152" s="185">
        <f>SUMIF($E$4:$E$141,"520",$O$4:$O$141)</f>
        <v>0</v>
      </c>
      <c r="P152" s="185">
        <f>SUMIF($E$4:$E$141,"520",$P$4:$P$141)</f>
        <v>0</v>
      </c>
      <c r="Q152" s="185">
        <f>SUMIF($E$4:$E$141,"520",$Q$4:$Q$141)</f>
        <v>0</v>
      </c>
      <c r="R152" s="185">
        <f>SUMIF($E$4:$E$141,"520",$R$4:$R$141)</f>
        <v>0</v>
      </c>
      <c r="S152" s="185">
        <f>SUMIF($E$4:$E$141,"520",$S$4:$S$141)</f>
        <v>0</v>
      </c>
      <c r="T152" s="185">
        <f>SUMIF($E$4:$E$141,"520",$T$4:$T$141)</f>
        <v>0</v>
      </c>
      <c r="U152" s="185">
        <f>SUMIF($E$4:$E$141,"520",$U$4:$U$141)</f>
        <v>0</v>
      </c>
      <c r="V152" s="185">
        <f>SUMIF($E$4:$E$141,"520",$V$4:$V$141)</f>
        <v>0</v>
      </c>
      <c r="W152" s="185">
        <f>SUMIF($E$4:$E$141,"520",$W$4:$W$141)</f>
        <v>2115618253</v>
      </c>
      <c r="X152" s="185">
        <f>SUMIF($E$4:$E$141,"520",$X$4:$X$141)</f>
        <v>312000000</v>
      </c>
      <c r="Y152" s="185">
        <f>SUMIF($E$4:$E$141,"520",$Y$4:$Y$141)</f>
        <v>132565530</v>
      </c>
      <c r="Z152" s="185">
        <f>SUMIF($E$4:$E$141,"520",$Z$4:$Z$141)</f>
        <v>210000000</v>
      </c>
      <c r="AA152" s="185">
        <f>SUMIF($E$4:$E$130,"520",$AA$4:$AA$130)</f>
        <v>0</v>
      </c>
      <c r="AB152" s="185"/>
      <c r="AC152" s="185">
        <f>SUMIF($E$4:$E$141,"520",$AC$4:$AC$141)</f>
        <v>0</v>
      </c>
      <c r="AD152" s="185">
        <f>SUMIF($E$4:$E$141,"520",$AD$4:$AD$141)</f>
        <v>823652121</v>
      </c>
      <c r="AE152" s="188">
        <f t="shared" si="161"/>
        <v>0.75760070663560553</v>
      </c>
      <c r="AF152" s="186">
        <f>SUMIF($E$4:$E$141,"520",$AF$4:$AF$141)</f>
        <v>3441655691</v>
      </c>
      <c r="AG152" s="186">
        <f>SUMIF($E$4:$E$141,"520",$AG$4:$AG$141)</f>
        <v>0</v>
      </c>
      <c r="AH152" s="186">
        <f>SUMIF($E$4:$E$141,"520",$AH$4:$AH$141)</f>
        <v>778803326</v>
      </c>
      <c r="AI152" s="186">
        <f>SUMIF($E$4:$E$141,"520",$AI$4:$AI$141)</f>
        <v>0</v>
      </c>
      <c r="AJ152" s="186">
        <f>SUMIF($E$4:$E$141,"520",$AJ$4:$AJ$141)</f>
        <v>114000000</v>
      </c>
      <c r="AK152" s="186">
        <f>SUMIF($E$4:$E$141,"520",$AK$4:$AK$141)</f>
        <v>0</v>
      </c>
      <c r="AL152" s="186">
        <f>SUMIF($E$4:$E$141,"520",$AL$4:$AL$141)</f>
        <v>0</v>
      </c>
      <c r="AM152" s="186">
        <f>SUMIF($E$4:$E$141,"520",$AM$4:$AM$141)</f>
        <v>0</v>
      </c>
      <c r="AN152" s="186">
        <f>SUMIF($E$4:$E$141,"520",$AN$4:$AN$141)</f>
        <v>0</v>
      </c>
      <c r="AO152" s="186">
        <f>SUMIF($E$4:$E$141,"520",$AO$4:$AO$141)</f>
        <v>0</v>
      </c>
      <c r="AP152" s="186">
        <f>SUMIF($E$4:$E$141,"520",$AP$4:$AP$141)</f>
        <v>0</v>
      </c>
      <c r="AQ152" s="186">
        <f>SUMIF($E$4:$E$141,"520",$AQ$4:$AQ$141)</f>
        <v>0</v>
      </c>
      <c r="AR152" s="186">
        <f>SUMIF($E$4:$E$141,"520",$AR$4:$AR$141)</f>
        <v>0</v>
      </c>
      <c r="AS152" s="186">
        <f>SUMIF($E$4:$E$141,"520",$AS$4:$AS$141)</f>
        <v>0</v>
      </c>
      <c r="AT152" s="186">
        <f>SUMIF($E$4:$E$141,"520",$AT$4:$AT$141)</f>
        <v>0</v>
      </c>
      <c r="AU152" s="186">
        <f>SUMIF($E$4:$E$141,"520",$AU$4:$AU$141)</f>
        <v>0</v>
      </c>
      <c r="AV152" s="186">
        <f>SUMIF($E$4:$E$141,"520",$AV$4:$AV$141)</f>
        <v>1157547927</v>
      </c>
      <c r="AW152" s="186">
        <f>SUMIF($E$4:$E$141,"520",$AW$4:$AW$141)</f>
        <v>289370571</v>
      </c>
      <c r="AX152" s="186">
        <f>SUMIF($E$4:$E$141,"520",$AX$4:$AX$141)</f>
        <v>132163690</v>
      </c>
      <c r="AY152" s="186">
        <f>SUMIF($E$4:$E$141,"520",$AY$4:$AY$141)</f>
        <v>208647007</v>
      </c>
      <c r="AZ152" s="186">
        <f>SUMIF($E$4:$E$141,"520",$AZ$4:$AZ$141)</f>
        <v>0</v>
      </c>
      <c r="BA152" s="186">
        <f>SUMIF($E$4:$E$141,"520",$BA$4:$BA$141)</f>
        <v>0</v>
      </c>
      <c r="BB152" s="186">
        <f>SUMIF($E$4:$E$141,"520",$BB$4:$BB$141)</f>
        <v>0</v>
      </c>
      <c r="BC152" s="186">
        <f>SUMIF($E$4:$E$141,"520",$BC$4:$BC$141)</f>
        <v>761123170</v>
      </c>
      <c r="BD152" s="171">
        <f t="shared" si="162"/>
        <v>0.24239929336439447</v>
      </c>
      <c r="BE152" s="46">
        <f t="shared" si="163"/>
        <v>1101180213</v>
      </c>
      <c r="BF152" s="189">
        <f>SUMIF($E$4:$E$141,"520",$BF$4:$BF$141)</f>
        <v>0</v>
      </c>
      <c r="BG152" s="189">
        <f>SUMIF($E$4:$E$141,"520",$BG$4:$BG$141)</f>
        <v>56196674</v>
      </c>
      <c r="BH152" s="189">
        <f>SUMIF($E$4:$E$141,"520",$BH$4:$BH$141)</f>
        <v>0</v>
      </c>
      <c r="BI152" s="189">
        <f>SUMIF($E$4:$E$141,"520",$BI$4:$BI$141)</f>
        <v>0</v>
      </c>
      <c r="BJ152" s="189">
        <f>SUMIF($E$4:$E$141,"520",$BJ$4:$BJ$141)</f>
        <v>0</v>
      </c>
      <c r="BK152" s="189">
        <f>SUMIF($E$4:$E$141,"520",$BK$4:$BK$141)</f>
        <v>0</v>
      </c>
      <c r="BL152" s="189">
        <f>SUMIF($E$4:$E$141,"520",$BL$4:$BL$141)</f>
        <v>0</v>
      </c>
      <c r="BM152" s="189">
        <f>SUMIF($E$4:$E$141,"520",$BM$4:$BM$141)</f>
        <v>0</v>
      </c>
      <c r="BN152" s="189">
        <f>SUMIF($E$4:$E$141,"520",$BN$4:$BN$141)</f>
        <v>0</v>
      </c>
      <c r="BO152" s="189">
        <f>SUMIF($E$4:$E$141,"520",$BO$4:$BO$141)</f>
        <v>0</v>
      </c>
      <c r="BP152" s="189">
        <f>SUMIF($E$4:$E$141,"520",$BP$4:$BP$141)</f>
        <v>0</v>
      </c>
      <c r="BQ152" s="189">
        <f>SUMIF($E$4:$E$141,"520",$BQ$4:$BQ$141)</f>
        <v>0</v>
      </c>
      <c r="BR152" s="189">
        <f>SUMIF($E$4:$E$141,"520",$BR$4:$BR$141)</f>
        <v>0</v>
      </c>
      <c r="BS152" s="189">
        <f>SUMIF($E$4:$E$141,"520",$BS$4:$BS$141)</f>
        <v>0</v>
      </c>
      <c r="BT152" s="189">
        <f>SUMIF($E$4:$E$141,"520",$BT$4:$BT$141)</f>
        <v>0</v>
      </c>
      <c r="BU152" s="189">
        <f>SUMIF($E$4:$E$141,"520",$BU$4:$BU$141)</f>
        <v>958070326</v>
      </c>
      <c r="BV152" s="189">
        <f>SUMIF($E$4:$E$141,"520",$BV$4:$BV$141)</f>
        <v>22629429</v>
      </c>
      <c r="BW152" s="189">
        <f>SUMIF($E$4:$E$141,"520",$BW$4:$BW$141)</f>
        <v>401840</v>
      </c>
      <c r="BX152" s="189">
        <f>SUMIF($E$4:$E$141,"520",$BX$4:$BX$141)</f>
        <v>1352993</v>
      </c>
      <c r="BY152" s="189">
        <f>SUMIF($E$4:$E$141,"520",$BY$4:$BY$141)</f>
        <v>0</v>
      </c>
      <c r="BZ152" s="189">
        <f>SUMIF($E$4:$E$141,"520",$BZ$4:$BZ$141)</f>
        <v>0</v>
      </c>
      <c r="CA152" s="189">
        <f>SUMIF($E$4:$E$141,"520",$CA$4:$CA$141)</f>
        <v>0</v>
      </c>
      <c r="CB152" s="190">
        <f>SUMIF($E$4:$E$141,"520",$CB$4:$CB$141)</f>
        <v>62528951</v>
      </c>
      <c r="CC152" s="191">
        <f t="shared" si="164"/>
        <v>0.68240859597643966</v>
      </c>
      <c r="CD152" s="46">
        <f t="shared" si="165"/>
        <v>3100070271</v>
      </c>
      <c r="CE152" s="186">
        <f>SUMIF($E$4:$E$141,"520",$CE$4:$CE$141)</f>
        <v>0</v>
      </c>
      <c r="CF152" s="186">
        <f>SUMIF($E$4:$E$141,"520",$CF$4:$CF$141)</f>
        <v>743657184</v>
      </c>
      <c r="CG152" s="186">
        <f>SUMIF($E$4:$E$141,"520",$CG$4:$CG$141)</f>
        <v>0</v>
      </c>
      <c r="CH152" s="186">
        <f>SUMIF($E$4:$E$141,"520",$CH$4:$CH$141)</f>
        <v>0</v>
      </c>
      <c r="CI152" s="186">
        <f>SUMIF($E$4:$E$141,"520",$CI$4:$CI$141)</f>
        <v>0</v>
      </c>
      <c r="CJ152" s="186">
        <f>SUMIF($E$4:$E$141,"520",$CJ$4:$CJ$141)</f>
        <v>0</v>
      </c>
      <c r="CK152" s="186">
        <f>SUMIF($E$4:$E$141,"520",$CK$4:$CK$141)</f>
        <v>0</v>
      </c>
      <c r="CL152" s="186">
        <f>SUMIF($E$4:$E$141,"520",$CL$4:$CL$141)</f>
        <v>0</v>
      </c>
      <c r="CM152" s="186">
        <f>SUMIF($E$4:$E$141,"520",$CM$4:$CM$141)</f>
        <v>0</v>
      </c>
      <c r="CN152" s="186">
        <f>SUMIF($E$4:$E$141,"520",$CN$4:$CN$141)</f>
        <v>0</v>
      </c>
      <c r="CO152" s="186">
        <f>SUMIF($E$4:$E$141,"520",$CO$4:$CO$141)</f>
        <v>0</v>
      </c>
      <c r="CP152" s="186">
        <f>SUMIF($E$4:$E$141,"520",$CP$4:$CP$141)</f>
        <v>0</v>
      </c>
      <c r="CQ152" s="186">
        <f>SUMIF($E$4:$E$141,"520",$CQ$4:$CQ$141)</f>
        <v>0</v>
      </c>
      <c r="CR152" s="186">
        <f>SUMIF($E$4:$E$141,"520",$CR$4:$CR$141)</f>
        <v>0</v>
      </c>
      <c r="CS152" s="186">
        <f>SUMIF($E$4:$E$141,"520",$CS$4:$CS$141)</f>
        <v>0</v>
      </c>
      <c r="CT152" s="186">
        <f>SUMIF($E$4:$E$141,"520",$CT$4:$CT$141)</f>
        <v>1084000006</v>
      </c>
      <c r="CU152" s="186">
        <f>SUMIF($E$4:$E$141,"520",$CU$4:$CU$141)</f>
        <v>256741164</v>
      </c>
      <c r="CV152" s="186">
        <f>SUMIF($E$4:$E$141,"520",$CV$4:$CV$141)</f>
        <v>131494823</v>
      </c>
      <c r="CW152" s="186">
        <f>SUMIF($E$4:$E$141,"520",$CW$4:$CW$141)</f>
        <v>181257002</v>
      </c>
      <c r="CX152" s="186">
        <f>SUMIF($E$4:$E$141,"520",$CX$4:$CX$141)</f>
        <v>0</v>
      </c>
      <c r="CY152" s="186">
        <f>SUMIF($E$4:$E$141,"520",$CY$4:$CY$141)</f>
        <v>0</v>
      </c>
      <c r="CZ152" s="186">
        <f>SUMIF($E$4:$E$141,"520",$CZ$4:$CZ$141)</f>
        <v>0</v>
      </c>
      <c r="DA152" s="192">
        <f>SUMIF($E$4:$E$141,"520",$DA$4:$DA$141)</f>
        <v>702920092</v>
      </c>
      <c r="DB152" s="43">
        <f t="shared" si="166"/>
        <v>0.31759140402356034</v>
      </c>
      <c r="DC152" s="46">
        <f t="shared" si="167"/>
        <v>1442765633</v>
      </c>
      <c r="DD152" s="189">
        <f>SUMIF($E$4:$E$141,"520",$DD$4:$DD$141)</f>
        <v>0</v>
      </c>
      <c r="DE152" s="189">
        <f>SUMIF($E$4:$E$141,"520",$DE$4:$DE$141)</f>
        <v>91342816</v>
      </c>
      <c r="DF152" s="189">
        <f>SUMIF($E$4:$E$141,"520",$DF$4:$DF$141)</f>
        <v>0</v>
      </c>
      <c r="DG152" s="189">
        <f>SUMIF($E$4:$E$141,"520",$DG$4:$DG$141)</f>
        <v>114000000</v>
      </c>
      <c r="DH152" s="189">
        <f>SUMIF($E$4:$E$141,"520",$DH$4:$DH$141)</f>
        <v>0</v>
      </c>
      <c r="DI152" s="189">
        <f>SUMIF($E$4:$E$141,"520",$DI$4:$DI$141)</f>
        <v>0</v>
      </c>
      <c r="DJ152" s="189">
        <f>SUMIF($E$4:$E$141,"520",$DJ$4:$DJ$141)</f>
        <v>0</v>
      </c>
      <c r="DK152" s="189">
        <f>SUMIF($E$4:$E$141,"520",$DK$4:$DK$141)</f>
        <v>0</v>
      </c>
      <c r="DL152" s="189">
        <f>SUMIF($E$4:$E$141,"520",$DL$4:$DL$141)</f>
        <v>0</v>
      </c>
      <c r="DM152" s="189">
        <f>SUMIF($E$4:$E$141,"520",$DM$4:$DM$141)</f>
        <v>0</v>
      </c>
      <c r="DN152" s="193">
        <f>SUMIF($E$4:$E$141,"520",$DN$4:$DN$141)</f>
        <v>0</v>
      </c>
      <c r="DO152" s="193">
        <f>SUMIF($E$4:$E$141,"520",$DO$4:$DO$141)</f>
        <v>0</v>
      </c>
      <c r="DP152" s="193">
        <f>SUMIF($E$4:$E$141,"520",$DP$4:$DP$141)</f>
        <v>0</v>
      </c>
      <c r="DQ152" s="193">
        <f>SUMIF($E$4:$E$141,"520",$DQ$4:$DQ$141)</f>
        <v>0</v>
      </c>
      <c r="DR152" s="193">
        <f>SUMIF($E$4:$E$141,"520",$DR$4:$DR$141)</f>
        <v>0</v>
      </c>
      <c r="DS152" s="193">
        <f>SUMIF($E$4:$E$141,"520",$DS$4:$DS$141)</f>
        <v>1031618247</v>
      </c>
      <c r="DT152" s="193">
        <f>SUMIF($E$4:$E$141,"520",$DT$4:$DT$141)</f>
        <v>55258836</v>
      </c>
      <c r="DU152" s="193">
        <f>SUMIF($E$4:$E$141,"520",$DU$4:$DU$141)</f>
        <v>1070707</v>
      </c>
      <c r="DV152" s="193">
        <f>SUMIF($E$4:$E$141,"520",$DV$4:$DV$141)</f>
        <v>28742998</v>
      </c>
      <c r="DW152" s="193">
        <f>SUMIF($E$4:$E$141,"520",$DW$4:$DW$141)</f>
        <v>0</v>
      </c>
      <c r="DX152" s="193">
        <f>SUMIF($E$4:$E$141,"520",$DX$4:$DX$141)</f>
        <v>0</v>
      </c>
      <c r="DY152" s="193">
        <f>SUMIF($E$4:$E$141,"520",$DY$4:$DY$141)</f>
        <v>0</v>
      </c>
      <c r="DZ152" s="193">
        <f>SUMIF($E$4:$E$141,"520",$DZ$4:$DZ$141)</f>
        <v>120732029</v>
      </c>
      <c r="EB152" s="47">
        <f t="shared" si="168"/>
        <v>4542835904</v>
      </c>
      <c r="EC152" s="47">
        <f t="shared" si="169"/>
        <v>4542835904</v>
      </c>
      <c r="ED152" s="47">
        <f t="shared" si="170"/>
        <v>4542835904</v>
      </c>
    </row>
    <row r="153" spans="3:136" ht="15" thickBot="1" x14ac:dyDescent="0.35">
      <c r="C153" s="198" t="s">
        <v>405</v>
      </c>
      <c r="D153" s="199"/>
      <c r="E153" s="200"/>
      <c r="F153" s="201"/>
      <c r="G153" s="202">
        <f t="shared" ref="G153:AD153" si="171">SUM(G146:G152)</f>
        <v>42445623888</v>
      </c>
      <c r="H153" s="202">
        <f t="shared" si="171"/>
        <v>467762013</v>
      </c>
      <c r="I153" s="202">
        <f t="shared" si="171"/>
        <v>2969410598</v>
      </c>
      <c r="J153" s="202">
        <f t="shared" si="171"/>
        <v>80644090</v>
      </c>
      <c r="K153" s="202">
        <f t="shared" si="171"/>
        <v>2311816144</v>
      </c>
      <c r="L153" s="202">
        <f t="shared" si="171"/>
        <v>10500000000</v>
      </c>
      <c r="M153" s="202">
        <f t="shared" si="171"/>
        <v>208000000</v>
      </c>
      <c r="N153" s="202">
        <f t="shared" si="171"/>
        <v>244096406</v>
      </c>
      <c r="O153" s="202">
        <f t="shared" si="171"/>
        <v>4798861038</v>
      </c>
      <c r="P153" s="202">
        <f t="shared" si="171"/>
        <v>986590852</v>
      </c>
      <c r="Q153" s="202">
        <f t="shared" si="171"/>
        <v>899683955</v>
      </c>
      <c r="R153" s="202">
        <f t="shared" si="171"/>
        <v>833117257</v>
      </c>
      <c r="S153" s="203">
        <f t="shared" si="171"/>
        <v>797458202</v>
      </c>
      <c r="T153" s="203">
        <f t="shared" si="171"/>
        <v>151047242</v>
      </c>
      <c r="U153" s="202">
        <f t="shared" si="171"/>
        <v>177491556</v>
      </c>
      <c r="V153" s="203">
        <f t="shared" si="171"/>
        <v>247290061</v>
      </c>
      <c r="W153" s="202">
        <f t="shared" si="171"/>
        <v>5673269814</v>
      </c>
      <c r="X153" s="202">
        <f t="shared" si="171"/>
        <v>1161806613</v>
      </c>
      <c r="Y153" s="202">
        <f t="shared" si="171"/>
        <v>1841680997</v>
      </c>
      <c r="Z153" s="202">
        <f t="shared" si="171"/>
        <v>1651021615</v>
      </c>
      <c r="AA153" s="202">
        <f t="shared" si="171"/>
        <v>1770728185</v>
      </c>
      <c r="AB153" s="202">
        <f t="shared" si="171"/>
        <v>453752865</v>
      </c>
      <c r="AC153" s="202">
        <f t="shared" si="171"/>
        <v>1337681906</v>
      </c>
      <c r="AD153" s="202">
        <f t="shared" si="171"/>
        <v>2882412479</v>
      </c>
      <c r="AE153" s="204">
        <f t="shared" si="161"/>
        <v>0.61760751561037341</v>
      </c>
      <c r="AF153" s="205">
        <f t="shared" ref="AF153:BC153" si="172">SUM(AF146:AF152)</f>
        <v>26214736318</v>
      </c>
      <c r="AG153" s="205">
        <f t="shared" si="172"/>
        <v>443770850</v>
      </c>
      <c r="AH153" s="205">
        <f t="shared" si="172"/>
        <v>2850818327</v>
      </c>
      <c r="AI153" s="205">
        <f t="shared" si="172"/>
        <v>76644090</v>
      </c>
      <c r="AJ153" s="205">
        <f t="shared" si="172"/>
        <v>2311816144</v>
      </c>
      <c r="AK153" s="205">
        <f t="shared" si="172"/>
        <v>0</v>
      </c>
      <c r="AL153" s="205">
        <f t="shared" si="172"/>
        <v>200411327</v>
      </c>
      <c r="AM153" s="205">
        <f t="shared" si="172"/>
        <v>244096406</v>
      </c>
      <c r="AN153" s="205">
        <f t="shared" si="172"/>
        <v>4340702597</v>
      </c>
      <c r="AO153" s="205">
        <f t="shared" si="172"/>
        <v>823486829</v>
      </c>
      <c r="AP153" s="205">
        <f t="shared" si="172"/>
        <v>779046810</v>
      </c>
      <c r="AQ153" s="205">
        <f t="shared" si="172"/>
        <v>660796216</v>
      </c>
      <c r="AR153" s="205">
        <f t="shared" si="172"/>
        <v>751646051</v>
      </c>
      <c r="AS153" s="205">
        <f t="shared" si="172"/>
        <v>47114681</v>
      </c>
      <c r="AT153" s="205">
        <f t="shared" si="172"/>
        <v>42890459</v>
      </c>
      <c r="AU153" s="205">
        <f t="shared" si="172"/>
        <v>207058580</v>
      </c>
      <c r="AV153" s="205">
        <f t="shared" si="172"/>
        <v>3036232281</v>
      </c>
      <c r="AW153" s="205">
        <f t="shared" si="172"/>
        <v>1073838980</v>
      </c>
      <c r="AX153" s="205">
        <f t="shared" si="172"/>
        <v>1733557774</v>
      </c>
      <c r="AY153" s="205">
        <f t="shared" si="172"/>
        <v>1349729681</v>
      </c>
      <c r="AZ153" s="205">
        <f t="shared" si="172"/>
        <v>1757659170</v>
      </c>
      <c r="BA153" s="205">
        <f t="shared" si="172"/>
        <v>285623667</v>
      </c>
      <c r="BB153" s="205">
        <f t="shared" si="172"/>
        <v>784292884</v>
      </c>
      <c r="BC153" s="205">
        <f t="shared" si="172"/>
        <v>2413502514</v>
      </c>
      <c r="BD153" s="206">
        <f t="shared" si="162"/>
        <v>0.38239248438962659</v>
      </c>
      <c r="BE153" s="205">
        <f t="shared" ref="BE153:CB153" si="173">SUM(BE146:BE152)</f>
        <v>16230887570</v>
      </c>
      <c r="BF153" s="205">
        <f t="shared" si="173"/>
        <v>23991163</v>
      </c>
      <c r="BG153" s="205">
        <f t="shared" si="173"/>
        <v>118592271</v>
      </c>
      <c r="BH153" s="205">
        <f t="shared" si="173"/>
        <v>4000000</v>
      </c>
      <c r="BI153" s="205">
        <f t="shared" si="173"/>
        <v>0</v>
      </c>
      <c r="BJ153" s="205">
        <f t="shared" si="173"/>
        <v>10500000000</v>
      </c>
      <c r="BK153" s="205">
        <f t="shared" si="173"/>
        <v>7588673</v>
      </c>
      <c r="BL153" s="205">
        <f t="shared" si="173"/>
        <v>0</v>
      </c>
      <c r="BM153" s="205">
        <f t="shared" si="173"/>
        <v>458158441</v>
      </c>
      <c r="BN153" s="205">
        <f t="shared" si="173"/>
        <v>163104023</v>
      </c>
      <c r="BO153" s="205">
        <f t="shared" si="173"/>
        <v>120637145</v>
      </c>
      <c r="BP153" s="205">
        <f t="shared" si="173"/>
        <v>172321041</v>
      </c>
      <c r="BQ153" s="205">
        <f t="shared" si="173"/>
        <v>45812151</v>
      </c>
      <c r="BR153" s="205">
        <f t="shared" si="173"/>
        <v>103932561</v>
      </c>
      <c r="BS153" s="205">
        <f t="shared" si="173"/>
        <v>134601097</v>
      </c>
      <c r="BT153" s="205">
        <f t="shared" si="173"/>
        <v>40231481</v>
      </c>
      <c r="BU153" s="205">
        <f t="shared" si="173"/>
        <v>2637037533</v>
      </c>
      <c r="BV153" s="205">
        <f t="shared" si="173"/>
        <v>87967633</v>
      </c>
      <c r="BW153" s="205">
        <f t="shared" si="173"/>
        <v>108123223</v>
      </c>
      <c r="BX153" s="205">
        <f t="shared" si="173"/>
        <v>301291934</v>
      </c>
      <c r="BY153" s="205">
        <f t="shared" si="173"/>
        <v>13069015</v>
      </c>
      <c r="BZ153" s="205">
        <f t="shared" si="173"/>
        <v>168129198</v>
      </c>
      <c r="CA153" s="205">
        <f t="shared" si="173"/>
        <v>553389022</v>
      </c>
      <c r="CB153" s="205">
        <f t="shared" si="173"/>
        <v>468909965</v>
      </c>
      <c r="CC153" s="207">
        <f t="shared" si="164"/>
        <v>0.5057268692443162</v>
      </c>
      <c r="CD153" s="208">
        <f t="shared" ref="CD153:DA153" si="174">SUM(CD146:CD152)</f>
        <v>21465892482</v>
      </c>
      <c r="CE153" s="208">
        <f t="shared" si="174"/>
        <v>443770850</v>
      </c>
      <c r="CF153" s="208">
        <f t="shared" si="174"/>
        <v>2675814558</v>
      </c>
      <c r="CG153" s="208">
        <f t="shared" si="174"/>
        <v>34615897</v>
      </c>
      <c r="CH153" s="208">
        <f t="shared" si="174"/>
        <v>1152201486</v>
      </c>
      <c r="CI153" s="208">
        <f t="shared" si="174"/>
        <v>0</v>
      </c>
      <c r="CJ153" s="208">
        <f t="shared" si="174"/>
        <v>205876669</v>
      </c>
      <c r="CK153" s="208">
        <f t="shared" si="174"/>
        <v>236438964</v>
      </c>
      <c r="CL153" s="208">
        <f t="shared" si="174"/>
        <v>3549144173</v>
      </c>
      <c r="CM153" s="208">
        <f t="shared" si="174"/>
        <v>534486829</v>
      </c>
      <c r="CN153" s="208">
        <f t="shared" si="174"/>
        <v>678868129</v>
      </c>
      <c r="CO153" s="208">
        <f t="shared" si="174"/>
        <v>618655536</v>
      </c>
      <c r="CP153" s="208">
        <f t="shared" si="174"/>
        <v>580180670</v>
      </c>
      <c r="CQ153" s="208">
        <f t="shared" si="174"/>
        <v>2114681</v>
      </c>
      <c r="CR153" s="208">
        <f t="shared" si="174"/>
        <v>13820090</v>
      </c>
      <c r="CS153" s="208">
        <f t="shared" si="174"/>
        <v>207058580</v>
      </c>
      <c r="CT153" s="208">
        <f t="shared" si="174"/>
        <v>2238762115</v>
      </c>
      <c r="CU153" s="208">
        <f t="shared" si="174"/>
        <v>996095284</v>
      </c>
      <c r="CV153" s="208">
        <f t="shared" si="174"/>
        <v>1655192977</v>
      </c>
      <c r="CW153" s="208">
        <f t="shared" si="174"/>
        <v>1049536123</v>
      </c>
      <c r="CX153" s="208">
        <f t="shared" si="174"/>
        <v>1717036386</v>
      </c>
      <c r="CY153" s="208">
        <f t="shared" si="174"/>
        <v>225553524</v>
      </c>
      <c r="CZ153" s="208">
        <f t="shared" si="174"/>
        <v>611344094</v>
      </c>
      <c r="DA153" s="208">
        <f t="shared" si="174"/>
        <v>2039324867</v>
      </c>
      <c r="DB153" s="209">
        <f t="shared" si="166"/>
        <v>0.4942731307556838</v>
      </c>
      <c r="DC153" s="202">
        <f t="shared" ref="DC153:DZ153" ca="1" si="175">SUM(DC146:DC152)</f>
        <v>20979731406</v>
      </c>
      <c r="DD153" s="202">
        <f t="shared" ca="1" si="175"/>
        <v>23991163</v>
      </c>
      <c r="DE153" s="202">
        <f t="shared" si="175"/>
        <v>293596040</v>
      </c>
      <c r="DF153" s="202">
        <f t="shared" si="175"/>
        <v>46028193</v>
      </c>
      <c r="DG153" s="202">
        <f t="shared" si="175"/>
        <v>1159614658</v>
      </c>
      <c r="DH153" s="202">
        <f t="shared" si="175"/>
        <v>10500000000</v>
      </c>
      <c r="DI153" s="202">
        <f t="shared" si="175"/>
        <v>2123331</v>
      </c>
      <c r="DJ153" s="202">
        <f t="shared" si="175"/>
        <v>7657442</v>
      </c>
      <c r="DK153" s="202">
        <f t="shared" si="175"/>
        <v>1249716865</v>
      </c>
      <c r="DL153" s="202">
        <f t="shared" si="175"/>
        <v>452104023</v>
      </c>
      <c r="DM153" s="202">
        <f t="shared" si="175"/>
        <v>220815826</v>
      </c>
      <c r="DN153" s="202">
        <f t="shared" si="175"/>
        <v>214461721</v>
      </c>
      <c r="DO153" s="202">
        <f t="shared" si="175"/>
        <v>217277532</v>
      </c>
      <c r="DP153" s="202">
        <f t="shared" si="175"/>
        <v>148932561</v>
      </c>
      <c r="DQ153" s="202">
        <f t="shared" si="175"/>
        <v>163671466</v>
      </c>
      <c r="DR153" s="202">
        <f t="shared" si="175"/>
        <v>40231481</v>
      </c>
      <c r="DS153" s="202">
        <f t="shared" si="175"/>
        <v>3434507699</v>
      </c>
      <c r="DT153" s="202">
        <f t="shared" si="175"/>
        <v>165711329</v>
      </c>
      <c r="DU153" s="202">
        <f t="shared" si="175"/>
        <v>186488020</v>
      </c>
      <c r="DV153" s="202">
        <f t="shared" si="175"/>
        <v>601485492</v>
      </c>
      <c r="DW153" s="202">
        <f t="shared" si="175"/>
        <v>53691799</v>
      </c>
      <c r="DX153" s="202">
        <f t="shared" si="175"/>
        <v>228199341</v>
      </c>
      <c r="DY153" s="202">
        <f t="shared" si="175"/>
        <v>726337812</v>
      </c>
      <c r="DZ153" s="202">
        <f t="shared" si="175"/>
        <v>843087612</v>
      </c>
      <c r="EB153" s="47">
        <f t="shared" si="168"/>
        <v>42445623888</v>
      </c>
      <c r="EC153" s="47">
        <f>AF153+BE153</f>
        <v>42445623888</v>
      </c>
      <c r="ED153" s="47">
        <f t="shared" ca="1" si="170"/>
        <v>42445623888</v>
      </c>
    </row>
    <row r="154" spans="3:136" ht="15" thickTop="1" x14ac:dyDescent="0.3">
      <c r="G154" s="63">
        <f t="shared" ref="G154:AD154" si="176">+G144-G153</f>
        <v>0</v>
      </c>
      <c r="H154" s="63">
        <f t="shared" si="176"/>
        <v>0</v>
      </c>
      <c r="I154" s="63">
        <f t="shared" si="176"/>
        <v>0</v>
      </c>
      <c r="J154" s="63">
        <f t="shared" si="176"/>
        <v>0</v>
      </c>
      <c r="K154" s="63">
        <f t="shared" si="176"/>
        <v>0</v>
      </c>
      <c r="L154" s="63">
        <f t="shared" si="176"/>
        <v>0</v>
      </c>
      <c r="M154" s="63">
        <f t="shared" si="176"/>
        <v>0</v>
      </c>
      <c r="N154" s="63">
        <f t="shared" si="176"/>
        <v>0</v>
      </c>
      <c r="O154" s="63">
        <f t="shared" si="176"/>
        <v>0</v>
      </c>
      <c r="P154" s="63">
        <f t="shared" si="176"/>
        <v>0</v>
      </c>
      <c r="Q154" s="63">
        <f t="shared" si="176"/>
        <v>0</v>
      </c>
      <c r="R154" s="63">
        <f t="shared" si="176"/>
        <v>0</v>
      </c>
      <c r="S154" s="63">
        <f t="shared" si="176"/>
        <v>0</v>
      </c>
      <c r="T154" s="63">
        <f t="shared" si="176"/>
        <v>0</v>
      </c>
      <c r="U154" s="63">
        <f t="shared" si="176"/>
        <v>0</v>
      </c>
      <c r="V154" s="63">
        <f t="shared" si="176"/>
        <v>0</v>
      </c>
      <c r="W154" s="63">
        <f t="shared" si="176"/>
        <v>0</v>
      </c>
      <c r="X154" s="63">
        <f t="shared" si="176"/>
        <v>0</v>
      </c>
      <c r="Y154" s="63">
        <f t="shared" si="176"/>
        <v>0</v>
      </c>
      <c r="Z154" s="63">
        <f t="shared" si="176"/>
        <v>0</v>
      </c>
      <c r="AA154" s="63">
        <f t="shared" si="176"/>
        <v>0</v>
      </c>
      <c r="AB154" s="63">
        <f t="shared" si="176"/>
        <v>0</v>
      </c>
      <c r="AC154" s="63">
        <f t="shared" si="176"/>
        <v>0</v>
      </c>
      <c r="AD154" s="63">
        <f t="shared" si="176"/>
        <v>0</v>
      </c>
      <c r="AF154" s="63">
        <f>+AF144-AF153</f>
        <v>0</v>
      </c>
      <c r="AG154" s="63">
        <f>+AG144-AG153</f>
        <v>0</v>
      </c>
      <c r="AH154" s="63">
        <f>+AH144-AH153</f>
        <v>0</v>
      </c>
      <c r="AI154" s="63">
        <f>+AI144-AI153</f>
        <v>0</v>
      </c>
      <c r="AJ154" s="63"/>
      <c r="AK154" s="63">
        <f t="shared" ref="AK154:BC154" si="177">+AK144-AK153</f>
        <v>0</v>
      </c>
      <c r="AL154" s="63">
        <f t="shared" si="177"/>
        <v>0</v>
      </c>
      <c r="AM154" s="63">
        <f t="shared" si="177"/>
        <v>0</v>
      </c>
      <c r="AN154" s="63">
        <f t="shared" si="177"/>
        <v>0</v>
      </c>
      <c r="AO154" s="63">
        <f t="shared" si="177"/>
        <v>0</v>
      </c>
      <c r="AP154" s="63">
        <f t="shared" si="177"/>
        <v>0</v>
      </c>
      <c r="AQ154" s="63">
        <f t="shared" si="177"/>
        <v>0</v>
      </c>
      <c r="AR154" s="63">
        <f t="shared" si="177"/>
        <v>0</v>
      </c>
      <c r="AS154" s="63">
        <f t="shared" si="177"/>
        <v>0</v>
      </c>
      <c r="AT154" s="63">
        <f t="shared" si="177"/>
        <v>0</v>
      </c>
      <c r="AU154" s="63">
        <f t="shared" si="177"/>
        <v>0</v>
      </c>
      <c r="AV154" s="63">
        <f t="shared" si="177"/>
        <v>0</v>
      </c>
      <c r="AW154" s="63">
        <f t="shared" si="177"/>
        <v>0</v>
      </c>
      <c r="AX154" s="63">
        <f t="shared" si="177"/>
        <v>0</v>
      </c>
      <c r="AY154" s="63">
        <f t="shared" si="177"/>
        <v>0</v>
      </c>
      <c r="AZ154" s="63">
        <f t="shared" si="177"/>
        <v>0</v>
      </c>
      <c r="BA154" s="63">
        <f t="shared" si="177"/>
        <v>0</v>
      </c>
      <c r="BB154" s="63">
        <f t="shared" si="177"/>
        <v>0</v>
      </c>
      <c r="BC154" s="63">
        <f t="shared" si="177"/>
        <v>0</v>
      </c>
      <c r="BE154" s="63">
        <f t="shared" ref="BE154:BZ154" si="178">+BE144-BE153</f>
        <v>0</v>
      </c>
      <c r="BF154" s="63">
        <f t="shared" si="178"/>
        <v>0</v>
      </c>
      <c r="BG154" s="63">
        <f t="shared" si="178"/>
        <v>0</v>
      </c>
      <c r="BH154" s="63">
        <f t="shared" si="178"/>
        <v>0</v>
      </c>
      <c r="BI154" s="63">
        <f t="shared" si="178"/>
        <v>0</v>
      </c>
      <c r="BJ154" s="63">
        <f t="shared" si="178"/>
        <v>0</v>
      </c>
      <c r="BK154" s="63">
        <f t="shared" si="178"/>
        <v>0</v>
      </c>
      <c r="BL154" s="63">
        <f t="shared" si="178"/>
        <v>0</v>
      </c>
      <c r="BM154" s="63">
        <f t="shared" si="178"/>
        <v>0</v>
      </c>
      <c r="BN154" s="63">
        <f t="shared" si="178"/>
        <v>0</v>
      </c>
      <c r="BO154" s="63">
        <f t="shared" si="178"/>
        <v>0</v>
      </c>
      <c r="BP154" s="63">
        <f t="shared" si="178"/>
        <v>0</v>
      </c>
      <c r="BQ154" s="63">
        <f t="shared" si="178"/>
        <v>0</v>
      </c>
      <c r="BR154" s="63">
        <f t="shared" si="178"/>
        <v>0</v>
      </c>
      <c r="BS154" s="63">
        <f t="shared" si="178"/>
        <v>0</v>
      </c>
      <c r="BT154" s="63">
        <f t="shared" si="178"/>
        <v>0</v>
      </c>
      <c r="BU154" s="63">
        <f t="shared" si="178"/>
        <v>0</v>
      </c>
      <c r="BV154" s="63">
        <f t="shared" si="178"/>
        <v>0</v>
      </c>
      <c r="BW154" s="63">
        <f t="shared" si="178"/>
        <v>0</v>
      </c>
      <c r="BX154" s="63">
        <f t="shared" si="178"/>
        <v>0</v>
      </c>
      <c r="BY154" s="63">
        <f t="shared" si="178"/>
        <v>0</v>
      </c>
      <c r="BZ154" s="63">
        <f t="shared" si="178"/>
        <v>0</v>
      </c>
      <c r="CA154" s="63"/>
      <c r="CB154" s="63">
        <f t="shared" ref="CB154:CY154" si="179">+CB144-CB153</f>
        <v>0</v>
      </c>
      <c r="CC154" s="63">
        <f t="shared" si="179"/>
        <v>0</v>
      </c>
      <c r="CD154" s="63">
        <f t="shared" si="179"/>
        <v>0</v>
      </c>
      <c r="CE154" s="63">
        <f t="shared" si="179"/>
        <v>0</v>
      </c>
      <c r="CF154" s="63">
        <f t="shared" si="179"/>
        <v>0</v>
      </c>
      <c r="CG154" s="63">
        <f t="shared" si="179"/>
        <v>0</v>
      </c>
      <c r="CH154" s="63">
        <f t="shared" si="179"/>
        <v>-996962179</v>
      </c>
      <c r="CI154" s="63">
        <f t="shared" si="179"/>
        <v>0</v>
      </c>
      <c r="CJ154" s="63">
        <f t="shared" si="179"/>
        <v>0</v>
      </c>
      <c r="CK154" s="63">
        <f t="shared" si="179"/>
        <v>0</v>
      </c>
      <c r="CL154" s="63">
        <f t="shared" si="179"/>
        <v>0</v>
      </c>
      <c r="CM154" s="63">
        <f t="shared" si="179"/>
        <v>0</v>
      </c>
      <c r="CN154" s="63">
        <f t="shared" si="179"/>
        <v>0</v>
      </c>
      <c r="CO154" s="63">
        <f t="shared" si="179"/>
        <v>0</v>
      </c>
      <c r="CP154" s="63">
        <f t="shared" si="179"/>
        <v>0</v>
      </c>
      <c r="CQ154" s="63">
        <f t="shared" si="179"/>
        <v>0</v>
      </c>
      <c r="CR154" s="63">
        <f t="shared" si="179"/>
        <v>0</v>
      </c>
      <c r="CS154" s="63">
        <f t="shared" si="179"/>
        <v>0</v>
      </c>
      <c r="CT154" s="63">
        <f t="shared" si="179"/>
        <v>0</v>
      </c>
      <c r="CU154" s="63">
        <f t="shared" si="179"/>
        <v>0</v>
      </c>
      <c r="CV154" s="63">
        <f t="shared" si="179"/>
        <v>0</v>
      </c>
      <c r="CW154" s="63">
        <f t="shared" si="179"/>
        <v>0</v>
      </c>
      <c r="CX154" s="63">
        <f t="shared" si="179"/>
        <v>0</v>
      </c>
      <c r="CY154" s="63">
        <f t="shared" si="179"/>
        <v>0</v>
      </c>
      <c r="CZ154" s="63"/>
      <c r="DA154" s="63">
        <f t="shared" ref="DA154:DZ154" si="180">+DA144-DA153</f>
        <v>0</v>
      </c>
      <c r="DB154" s="63">
        <f t="shared" si="180"/>
        <v>0</v>
      </c>
      <c r="DC154" s="63">
        <f t="shared" ca="1" si="180"/>
        <v>0</v>
      </c>
      <c r="DD154" s="63">
        <f t="shared" ca="1" si="180"/>
        <v>0</v>
      </c>
      <c r="DE154" s="63">
        <f t="shared" si="180"/>
        <v>0</v>
      </c>
      <c r="DF154" s="63">
        <f t="shared" si="180"/>
        <v>0</v>
      </c>
      <c r="DG154" s="63">
        <f t="shared" si="180"/>
        <v>0</v>
      </c>
      <c r="DH154" s="63">
        <f t="shared" si="180"/>
        <v>0</v>
      </c>
      <c r="DI154" s="63">
        <f t="shared" si="180"/>
        <v>0</v>
      </c>
      <c r="DJ154" s="63">
        <f t="shared" si="180"/>
        <v>0</v>
      </c>
      <c r="DK154" s="63">
        <f t="shared" si="180"/>
        <v>0</v>
      </c>
      <c r="DL154" s="63">
        <f t="shared" si="180"/>
        <v>0</v>
      </c>
      <c r="DM154" s="63">
        <f t="shared" si="180"/>
        <v>0</v>
      </c>
      <c r="DN154" s="63">
        <f t="shared" si="180"/>
        <v>0</v>
      </c>
      <c r="DO154" s="63">
        <f t="shared" si="180"/>
        <v>0</v>
      </c>
      <c r="DP154" s="63">
        <f t="shared" si="180"/>
        <v>0</v>
      </c>
      <c r="DQ154" s="63">
        <f t="shared" si="180"/>
        <v>0</v>
      </c>
      <c r="DR154" s="63">
        <f t="shared" si="180"/>
        <v>0</v>
      </c>
      <c r="DS154" s="63">
        <f t="shared" si="180"/>
        <v>0</v>
      </c>
      <c r="DT154" s="63">
        <f t="shared" si="180"/>
        <v>0</v>
      </c>
      <c r="DU154" s="63">
        <f t="shared" si="180"/>
        <v>0</v>
      </c>
      <c r="DV154" s="63">
        <f t="shared" si="180"/>
        <v>0</v>
      </c>
      <c r="DW154" s="63">
        <f t="shared" si="180"/>
        <v>0</v>
      </c>
      <c r="DX154" s="63">
        <f t="shared" si="180"/>
        <v>0</v>
      </c>
      <c r="DY154" s="63">
        <f t="shared" si="180"/>
        <v>0</v>
      </c>
      <c r="DZ154" s="63">
        <f t="shared" si="180"/>
        <v>0</v>
      </c>
      <c r="EC154" s="63"/>
    </row>
    <row r="157" spans="3:136" x14ac:dyDescent="0.3">
      <c r="AH157" s="63">
        <f>+AG153+AH153</f>
        <v>3294589177</v>
      </c>
    </row>
    <row r="158" spans="3:136" x14ac:dyDescent="0.3">
      <c r="AG158" s="63">
        <f>+'[3]NOVIEMBRE 2019'!$K$9-AH153</f>
        <v>118592271</v>
      </c>
    </row>
  </sheetData>
  <mergeCells count="60">
    <mergeCell ref="B142:D142"/>
    <mergeCell ref="C144:E144"/>
    <mergeCell ref="C153:D153"/>
    <mergeCell ref="B118:B120"/>
    <mergeCell ref="B121:F121"/>
    <mergeCell ref="A122:A130"/>
    <mergeCell ref="B123:B124"/>
    <mergeCell ref="B125:B130"/>
    <mergeCell ref="A133:A141"/>
    <mergeCell ref="B133:B139"/>
    <mergeCell ref="B140:B141"/>
    <mergeCell ref="A100:A103"/>
    <mergeCell ref="B100:B101"/>
    <mergeCell ref="B104:F104"/>
    <mergeCell ref="A105:A116"/>
    <mergeCell ref="B105:B107"/>
    <mergeCell ref="B111:B112"/>
    <mergeCell ref="B80:E80"/>
    <mergeCell ref="A81:A92"/>
    <mergeCell ref="B81:B83"/>
    <mergeCell ref="B87:B94"/>
    <mergeCell ref="A96:A99"/>
    <mergeCell ref="B96:B97"/>
    <mergeCell ref="B44:B50"/>
    <mergeCell ref="A59:A72"/>
    <mergeCell ref="B59:B62"/>
    <mergeCell ref="B63:B71"/>
    <mergeCell ref="B73:B74"/>
    <mergeCell ref="A75:A79"/>
    <mergeCell ref="B75:B76"/>
    <mergeCell ref="B26:B30"/>
    <mergeCell ref="B31:B32"/>
    <mergeCell ref="B33:B34"/>
    <mergeCell ref="B35:B38"/>
    <mergeCell ref="B39:E39"/>
    <mergeCell ref="B40:B43"/>
    <mergeCell ref="DC2:DO2"/>
    <mergeCell ref="DP2:DZ2"/>
    <mergeCell ref="B4:B9"/>
    <mergeCell ref="B10:B13"/>
    <mergeCell ref="B14:B20"/>
    <mergeCell ref="B21:B25"/>
    <mergeCell ref="G2:AD2"/>
    <mergeCell ref="AF2:BC2"/>
    <mergeCell ref="BF2:BQ2"/>
    <mergeCell ref="BR2:CB2"/>
    <mergeCell ref="CE2:CQ2"/>
    <mergeCell ref="CT2:DA2"/>
    <mergeCell ref="A2:A3"/>
    <mergeCell ref="B2:B3"/>
    <mergeCell ref="C2:C3"/>
    <mergeCell ref="D2:D3"/>
    <mergeCell ref="E2:E3"/>
    <mergeCell ref="F2:F3"/>
    <mergeCell ref="C1:F1"/>
    <mergeCell ref="G1:AD1"/>
    <mergeCell ref="AF1:BC1"/>
    <mergeCell ref="BF1:CC1"/>
    <mergeCell ref="CD1:DA1"/>
    <mergeCell ref="DC1:DZ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4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K209"/>
  <sheetViews>
    <sheetView showGridLines="0" tabSelected="1" zoomScaleNormal="100" zoomScalePageLayoutView="50" workbookViewId="0">
      <pane xSplit="3" ySplit="4" topLeftCell="D203" activePane="bottomRight" state="frozen"/>
      <selection activeCell="Z102" sqref="Z102"/>
      <selection pane="topRight" activeCell="Z102" sqref="Z102"/>
      <selection pane="bottomLeft" activeCell="Z102" sqref="Z102"/>
      <selection pane="bottomRight" activeCell="CC202" sqref="CC202"/>
    </sheetView>
  </sheetViews>
  <sheetFormatPr baseColWidth="10" defaultRowHeight="14.4" x14ac:dyDescent="0.3"/>
  <cols>
    <col min="1" max="1" width="4.88671875" hidden="1" customWidth="1"/>
    <col min="2" max="2" width="36.21875" hidden="1" customWidth="1"/>
    <col min="3" max="3" width="9" customWidth="1"/>
    <col min="4" max="4" width="40.5546875" customWidth="1"/>
    <col min="5" max="5" width="15.88671875" customWidth="1"/>
    <col min="6" max="6" width="13.109375" hidden="1" customWidth="1"/>
    <col min="7" max="7" width="17.109375" customWidth="1"/>
    <col min="8" max="8" width="12.109375" hidden="1" customWidth="1"/>
    <col min="9" max="9" width="13.44140625" hidden="1" customWidth="1"/>
    <col min="10" max="10" width="12" hidden="1" customWidth="1"/>
    <col min="11" max="11" width="12.77734375" hidden="1" customWidth="1"/>
    <col min="12" max="12" width="14" hidden="1" customWidth="1"/>
    <col min="13" max="14" width="12.33203125" hidden="1" customWidth="1"/>
    <col min="15" max="15" width="12.88671875" hidden="1" customWidth="1"/>
    <col min="16" max="16" width="12.44140625" hidden="1" customWidth="1"/>
    <col min="17" max="17" width="11" hidden="1" customWidth="1"/>
    <col min="18" max="18" width="11.44140625" hidden="1" customWidth="1"/>
    <col min="19" max="19" width="12" hidden="1" customWidth="1"/>
    <col min="20" max="21" width="11.109375" hidden="1" customWidth="1"/>
    <col min="22" max="22" width="11.6640625" hidden="1" customWidth="1"/>
    <col min="23" max="23" width="12.5546875" hidden="1" customWidth="1"/>
    <col min="24" max="24" width="12.33203125" hidden="1" customWidth="1"/>
    <col min="25" max="25" width="12.77734375" hidden="1" customWidth="1"/>
    <col min="26" max="26" width="13.109375" hidden="1" customWidth="1"/>
    <col min="27" max="27" width="12.6640625" hidden="1" customWidth="1"/>
    <col min="28" max="28" width="11.44140625" hidden="1" customWidth="1"/>
    <col min="29" max="29" width="12.44140625" hidden="1" customWidth="1"/>
    <col min="30" max="30" width="12.77734375" hidden="1" customWidth="1"/>
    <col min="31" max="32" width="14.6640625" customWidth="1"/>
    <col min="33" max="33" width="13.5546875" hidden="1" customWidth="1"/>
    <col min="34" max="35" width="14" hidden="1" customWidth="1"/>
    <col min="36" max="36" width="14.77734375" hidden="1" customWidth="1"/>
    <col min="37" max="37" width="13.21875" hidden="1" customWidth="1"/>
    <col min="38" max="38" width="12.44140625" hidden="1" customWidth="1"/>
    <col min="39" max="39" width="12.109375" hidden="1" customWidth="1"/>
    <col min="40" max="40" width="12.44140625" hidden="1" customWidth="1"/>
    <col min="41" max="42" width="15" hidden="1" customWidth="1"/>
    <col min="43" max="43" width="11.6640625" hidden="1" customWidth="1"/>
    <col min="44" max="44" width="13.33203125" hidden="1" customWidth="1"/>
    <col min="45" max="45" width="12.5546875" hidden="1" customWidth="1"/>
    <col min="46" max="47" width="14.109375" hidden="1" customWidth="1"/>
    <col min="48" max="48" width="13.5546875" hidden="1" customWidth="1"/>
    <col min="49" max="49" width="13.44140625" hidden="1" customWidth="1"/>
    <col min="50" max="50" width="13" hidden="1" customWidth="1"/>
    <col min="51" max="52" width="13.44140625" hidden="1" customWidth="1"/>
    <col min="53" max="54" width="15.5546875" hidden="1" customWidth="1"/>
    <col min="55" max="55" width="13.88671875" hidden="1" customWidth="1"/>
    <col min="56" max="56" width="9" customWidth="1"/>
    <col min="57" max="57" width="14.88671875" customWidth="1"/>
    <col min="58" max="58" width="14.5546875" hidden="1" customWidth="1"/>
    <col min="59" max="59" width="16.5546875" hidden="1" customWidth="1"/>
    <col min="60" max="60" width="13.6640625" hidden="1" customWidth="1"/>
    <col min="61" max="61" width="14" hidden="1" customWidth="1"/>
    <col min="62" max="67" width="16.5546875" hidden="1" customWidth="1"/>
    <col min="68" max="68" width="15" hidden="1" customWidth="1"/>
    <col min="69" max="70" width="14.44140625" hidden="1" customWidth="1"/>
    <col min="71" max="71" width="16.5546875" hidden="1" customWidth="1"/>
    <col min="72" max="72" width="13.33203125" hidden="1" customWidth="1"/>
    <col min="73" max="73" width="13.44140625" hidden="1" customWidth="1"/>
    <col min="74" max="74" width="12.88671875" hidden="1" customWidth="1"/>
    <col min="75" max="79" width="16.5546875" hidden="1" customWidth="1"/>
    <col min="80" max="80" width="14" hidden="1" customWidth="1"/>
    <col min="81" max="81" width="10.33203125" customWidth="1"/>
    <col min="82" max="82" width="14.6640625" customWidth="1"/>
    <col min="83" max="83" width="12.33203125" hidden="1" customWidth="1"/>
    <col min="84" max="86" width="13.33203125" hidden="1" customWidth="1"/>
    <col min="87" max="88" width="14" hidden="1" customWidth="1"/>
    <col min="89" max="89" width="15.44140625" hidden="1" customWidth="1"/>
    <col min="90" max="92" width="13.5546875" hidden="1" customWidth="1"/>
    <col min="93" max="93" width="11.6640625" hidden="1" customWidth="1"/>
    <col min="94" max="94" width="13.44140625" hidden="1" customWidth="1"/>
    <col min="95" max="95" width="15.6640625" hidden="1" customWidth="1"/>
    <col min="96" max="97" width="16.33203125" hidden="1" customWidth="1"/>
    <col min="98" max="98" width="13.6640625" hidden="1" customWidth="1"/>
    <col min="99" max="99" width="13" hidden="1" customWidth="1"/>
    <col min="100" max="101" width="14.33203125" hidden="1" customWidth="1"/>
    <col min="102" max="102" width="13.6640625" hidden="1" customWidth="1"/>
    <col min="103" max="104" width="12.33203125" hidden="1" customWidth="1"/>
    <col min="105" max="105" width="13.44140625" hidden="1" customWidth="1"/>
    <col min="106" max="106" width="9.6640625" customWidth="1"/>
    <col min="107" max="107" width="15" customWidth="1"/>
    <col min="108" max="108" width="13.6640625" hidden="1" customWidth="1"/>
    <col min="109" max="109" width="14.44140625" hidden="1" customWidth="1"/>
    <col min="110" max="110" width="12.88671875" hidden="1" customWidth="1"/>
    <col min="111" max="111" width="14" hidden="1" customWidth="1"/>
    <col min="112" max="113" width="15.5546875" hidden="1" customWidth="1"/>
    <col min="114" max="114" width="14.44140625" hidden="1" customWidth="1"/>
    <col min="115" max="115" width="12.6640625" hidden="1" customWidth="1"/>
    <col min="116" max="117" width="13.5546875" hidden="1" customWidth="1"/>
    <col min="118" max="119" width="13.88671875" hidden="1" customWidth="1"/>
    <col min="120" max="120" width="13.6640625" hidden="1" customWidth="1"/>
    <col min="121" max="123" width="13.88671875" hidden="1" customWidth="1"/>
    <col min="124" max="124" width="13.33203125" hidden="1" customWidth="1"/>
    <col min="125" max="126" width="14.44140625" hidden="1" customWidth="1"/>
    <col min="127" max="127" width="14.88671875" hidden="1" customWidth="1"/>
    <col min="128" max="129" width="14.33203125" hidden="1" customWidth="1"/>
    <col min="130" max="130" width="13.5546875" hidden="1" customWidth="1"/>
    <col min="131" max="131" width="5.109375" customWidth="1"/>
    <col min="132" max="134" width="14.6640625" hidden="1" customWidth="1"/>
    <col min="135" max="135" width="2.109375" hidden="1" customWidth="1"/>
    <col min="136" max="136" width="17.44140625" hidden="1" customWidth="1"/>
    <col min="137" max="137" width="11.44140625" hidden="1" customWidth="1"/>
    <col min="138" max="138" width="20.6640625" customWidth="1"/>
    <col min="139" max="139" width="19.21875" customWidth="1"/>
    <col min="140" max="140" width="15.44140625" customWidth="1"/>
    <col min="141" max="141" width="12.88671875" customWidth="1"/>
    <col min="142" max="162" width="11.44140625" customWidth="1"/>
  </cols>
  <sheetData>
    <row r="1" spans="1:141" ht="15" hidden="1" customHeight="1" x14ac:dyDescent="0.35">
      <c r="C1" s="1" t="s">
        <v>0</v>
      </c>
      <c r="D1" s="2"/>
      <c r="E1" s="2"/>
      <c r="F1" s="3"/>
      <c r="G1" s="4" t="s">
        <v>1</v>
      </c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6"/>
      <c r="AE1" s="7"/>
      <c r="AF1" s="8" t="s">
        <v>2</v>
      </c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10"/>
      <c r="BD1" s="11"/>
      <c r="BE1" s="12"/>
      <c r="BF1" s="13" t="s">
        <v>3</v>
      </c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5"/>
      <c r="CD1" s="8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5"/>
      <c r="DB1" s="11"/>
      <c r="DC1" s="13" t="s">
        <v>3</v>
      </c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</row>
    <row r="2" spans="1:141" ht="15" hidden="1" customHeight="1" x14ac:dyDescent="0.3">
      <c r="A2" s="16" t="s">
        <v>4</v>
      </c>
      <c r="B2" s="16" t="s">
        <v>5</v>
      </c>
      <c r="C2" s="228" t="s">
        <v>6</v>
      </c>
      <c r="D2" s="229" t="s">
        <v>7</v>
      </c>
      <c r="E2" s="227" t="s">
        <v>8</v>
      </c>
      <c r="F2" s="16" t="s">
        <v>9</v>
      </c>
      <c r="G2" s="18" t="s">
        <v>10</v>
      </c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9"/>
      <c r="AF2" s="20" t="s">
        <v>11</v>
      </c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2"/>
      <c r="BD2" s="23"/>
      <c r="BE2" s="24"/>
      <c r="BF2" s="25" t="s">
        <v>12</v>
      </c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5" t="s">
        <v>12</v>
      </c>
      <c r="BS2" s="26"/>
      <c r="BT2" s="26"/>
      <c r="BU2" s="26"/>
      <c r="BV2" s="26"/>
      <c r="BW2" s="26"/>
      <c r="BX2" s="26"/>
      <c r="BY2" s="26"/>
      <c r="BZ2" s="26"/>
      <c r="CA2" s="26"/>
      <c r="CB2" s="27"/>
      <c r="CC2" s="28"/>
      <c r="CD2" s="19"/>
      <c r="CE2" s="20" t="s">
        <v>13</v>
      </c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9"/>
      <c r="CS2" s="29"/>
      <c r="CT2" s="21"/>
      <c r="CU2" s="21"/>
      <c r="CV2" s="21"/>
      <c r="CW2" s="21"/>
      <c r="CX2" s="21"/>
      <c r="CY2" s="21"/>
      <c r="CZ2" s="21"/>
      <c r="DA2" s="22"/>
      <c r="DB2" s="30"/>
      <c r="DC2" s="25" t="s">
        <v>12</v>
      </c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 t="s">
        <v>12</v>
      </c>
      <c r="DQ2" s="26"/>
      <c r="DR2" s="26"/>
      <c r="DS2" s="26"/>
      <c r="DT2" s="26"/>
      <c r="DU2" s="26"/>
      <c r="DV2" s="26"/>
      <c r="DW2" s="26"/>
      <c r="DX2" s="26"/>
      <c r="DY2" s="26"/>
      <c r="DZ2" s="27"/>
    </row>
    <row r="3" spans="1:141" ht="15" customHeight="1" x14ac:dyDescent="0.3">
      <c r="A3" s="16"/>
      <c r="B3" s="16"/>
      <c r="C3" s="228"/>
      <c r="D3" s="229"/>
      <c r="E3" s="227"/>
      <c r="F3" s="16"/>
      <c r="G3" s="210" t="s">
        <v>10</v>
      </c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9" t="s">
        <v>406</v>
      </c>
      <c r="AF3" s="220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5"/>
      <c r="BD3" s="222" t="s">
        <v>408</v>
      </c>
      <c r="BE3" s="223"/>
      <c r="BF3" s="216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  <c r="BR3" s="216"/>
      <c r="BS3" s="217"/>
      <c r="BT3" s="217"/>
      <c r="BU3" s="217"/>
      <c r="BV3" s="217"/>
      <c r="BW3" s="217"/>
      <c r="BX3" s="217"/>
      <c r="BY3" s="217"/>
      <c r="BZ3" s="217"/>
      <c r="CA3" s="217"/>
      <c r="CB3" s="218"/>
      <c r="CC3" s="219" t="s">
        <v>409</v>
      </c>
      <c r="CD3" s="225"/>
      <c r="CE3" s="213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9"/>
      <c r="CS3" s="29"/>
      <c r="CT3" s="214"/>
      <c r="CU3" s="214"/>
      <c r="CV3" s="214"/>
      <c r="CW3" s="214"/>
      <c r="CX3" s="214"/>
      <c r="CY3" s="214"/>
      <c r="CZ3" s="214"/>
      <c r="DA3" s="215"/>
      <c r="DB3" s="222" t="s">
        <v>410</v>
      </c>
      <c r="DC3" s="226"/>
      <c r="DD3" s="217"/>
      <c r="DE3" s="217"/>
      <c r="DF3" s="217"/>
      <c r="DG3" s="217"/>
      <c r="DH3" s="217"/>
      <c r="DI3" s="217"/>
      <c r="DJ3" s="217"/>
      <c r="DK3" s="217"/>
      <c r="DL3" s="217"/>
      <c r="DM3" s="217"/>
      <c r="DN3" s="217"/>
      <c r="DO3" s="217"/>
      <c r="DP3" s="217"/>
      <c r="DQ3" s="217"/>
      <c r="DR3" s="217"/>
      <c r="DS3" s="217"/>
      <c r="DT3" s="217"/>
      <c r="DU3" s="217"/>
      <c r="DV3" s="217"/>
      <c r="DW3" s="217"/>
      <c r="DX3" s="217"/>
      <c r="DY3" s="217"/>
      <c r="DZ3" s="218"/>
    </row>
    <row r="4" spans="1:141" s="35" customFormat="1" ht="37.799999999999997" customHeight="1" x14ac:dyDescent="0.25">
      <c r="A4" s="16"/>
      <c r="B4" s="16"/>
      <c r="C4" s="228"/>
      <c r="D4" s="229"/>
      <c r="E4" s="227"/>
      <c r="F4" s="16"/>
      <c r="G4" s="211"/>
      <c r="H4" s="31" t="s">
        <v>15</v>
      </c>
      <c r="I4" s="31" t="s">
        <v>16</v>
      </c>
      <c r="J4" s="31" t="s">
        <v>17</v>
      </c>
      <c r="K4" s="31" t="s">
        <v>18</v>
      </c>
      <c r="L4" s="31" t="s">
        <v>19</v>
      </c>
      <c r="M4" s="31" t="s">
        <v>20</v>
      </c>
      <c r="N4" s="31" t="s">
        <v>21</v>
      </c>
      <c r="O4" s="31" t="s">
        <v>22</v>
      </c>
      <c r="P4" s="31" t="s">
        <v>23</v>
      </c>
      <c r="Q4" s="31" t="s">
        <v>24</v>
      </c>
      <c r="R4" s="31" t="s">
        <v>25</v>
      </c>
      <c r="S4" s="31" t="s">
        <v>26</v>
      </c>
      <c r="T4" s="31" t="s">
        <v>27</v>
      </c>
      <c r="U4" s="31" t="s">
        <v>28</v>
      </c>
      <c r="V4" s="31" t="s">
        <v>29</v>
      </c>
      <c r="W4" s="31" t="s">
        <v>30</v>
      </c>
      <c r="X4" s="31" t="s">
        <v>31</v>
      </c>
      <c r="Y4" s="31" t="s">
        <v>32</v>
      </c>
      <c r="Z4" s="31" t="s">
        <v>33</v>
      </c>
      <c r="AA4" s="31" t="s">
        <v>34</v>
      </c>
      <c r="AB4" s="31" t="s">
        <v>35</v>
      </c>
      <c r="AC4" s="31" t="s">
        <v>36</v>
      </c>
      <c r="AD4" s="31" t="s">
        <v>37</v>
      </c>
      <c r="AE4" s="221" t="s">
        <v>38</v>
      </c>
      <c r="AF4" s="221" t="s">
        <v>407</v>
      </c>
      <c r="AG4" s="33" t="s">
        <v>15</v>
      </c>
      <c r="AH4" s="33" t="s">
        <v>16</v>
      </c>
      <c r="AI4" s="33" t="s">
        <v>17</v>
      </c>
      <c r="AJ4" s="33" t="s">
        <v>18</v>
      </c>
      <c r="AK4" s="33" t="s">
        <v>19</v>
      </c>
      <c r="AL4" s="33" t="s">
        <v>20</v>
      </c>
      <c r="AM4" s="33" t="s">
        <v>21</v>
      </c>
      <c r="AN4" s="33" t="s">
        <v>22</v>
      </c>
      <c r="AO4" s="33" t="s">
        <v>23</v>
      </c>
      <c r="AP4" s="33" t="s">
        <v>24</v>
      </c>
      <c r="AQ4" s="33" t="s">
        <v>25</v>
      </c>
      <c r="AR4" s="33" t="s">
        <v>26</v>
      </c>
      <c r="AS4" s="33" t="s">
        <v>27</v>
      </c>
      <c r="AT4" s="33" t="s">
        <v>28</v>
      </c>
      <c r="AU4" s="33" t="s">
        <v>29</v>
      </c>
      <c r="AV4" s="33" t="s">
        <v>30</v>
      </c>
      <c r="AW4" s="33" t="s">
        <v>31</v>
      </c>
      <c r="AX4" s="33" t="s">
        <v>32</v>
      </c>
      <c r="AY4" s="33" t="s">
        <v>33</v>
      </c>
      <c r="AZ4" s="33" t="s">
        <v>34</v>
      </c>
      <c r="BA4" s="33" t="s">
        <v>35</v>
      </c>
      <c r="BB4" s="33" t="s">
        <v>36</v>
      </c>
      <c r="BC4" s="33" t="s">
        <v>37</v>
      </c>
      <c r="BD4" s="224" t="s">
        <v>38</v>
      </c>
      <c r="BE4" s="224" t="s">
        <v>407</v>
      </c>
      <c r="BF4" s="30" t="s">
        <v>15</v>
      </c>
      <c r="BG4" s="30" t="s">
        <v>16</v>
      </c>
      <c r="BH4" s="30" t="s">
        <v>39</v>
      </c>
      <c r="BI4" s="30" t="s">
        <v>18</v>
      </c>
      <c r="BJ4" s="30" t="s">
        <v>19</v>
      </c>
      <c r="BK4" s="30" t="s">
        <v>20</v>
      </c>
      <c r="BL4" s="30" t="s">
        <v>21</v>
      </c>
      <c r="BM4" s="30" t="s">
        <v>22</v>
      </c>
      <c r="BN4" s="30" t="s">
        <v>23</v>
      </c>
      <c r="BO4" s="30" t="s">
        <v>24</v>
      </c>
      <c r="BP4" s="30" t="s">
        <v>25</v>
      </c>
      <c r="BQ4" s="30" t="s">
        <v>26</v>
      </c>
      <c r="BR4" s="30" t="s">
        <v>27</v>
      </c>
      <c r="BS4" s="30" t="s">
        <v>28</v>
      </c>
      <c r="BT4" s="30" t="s">
        <v>29</v>
      </c>
      <c r="BU4" s="30" t="s">
        <v>30</v>
      </c>
      <c r="BV4" s="30" t="s">
        <v>31</v>
      </c>
      <c r="BW4" s="30" t="s">
        <v>32</v>
      </c>
      <c r="BX4" s="30" t="s">
        <v>33</v>
      </c>
      <c r="BY4" s="30" t="s">
        <v>34</v>
      </c>
      <c r="BZ4" s="30" t="s">
        <v>35</v>
      </c>
      <c r="CA4" s="30" t="s">
        <v>36</v>
      </c>
      <c r="CB4" s="30" t="s">
        <v>37</v>
      </c>
      <c r="CC4" s="221" t="s">
        <v>38</v>
      </c>
      <c r="CD4" s="221" t="s">
        <v>407</v>
      </c>
      <c r="CE4" s="33" t="s">
        <v>15</v>
      </c>
      <c r="CF4" s="33" t="s">
        <v>16</v>
      </c>
      <c r="CG4" s="33" t="s">
        <v>39</v>
      </c>
      <c r="CH4" s="33" t="s">
        <v>18</v>
      </c>
      <c r="CI4" s="33" t="s">
        <v>19</v>
      </c>
      <c r="CJ4" s="33" t="s">
        <v>20</v>
      </c>
      <c r="CK4" s="33" t="s">
        <v>21</v>
      </c>
      <c r="CL4" s="33" t="s">
        <v>22</v>
      </c>
      <c r="CM4" s="33" t="s">
        <v>23</v>
      </c>
      <c r="CN4" s="33" t="s">
        <v>24</v>
      </c>
      <c r="CO4" s="33" t="s">
        <v>25</v>
      </c>
      <c r="CP4" s="33" t="s">
        <v>26</v>
      </c>
      <c r="CQ4" s="33" t="s">
        <v>27</v>
      </c>
      <c r="CR4" s="33" t="s">
        <v>28</v>
      </c>
      <c r="CS4" s="33" t="s">
        <v>29</v>
      </c>
      <c r="CT4" s="33" t="s">
        <v>30</v>
      </c>
      <c r="CU4" s="33" t="s">
        <v>31</v>
      </c>
      <c r="CV4" s="33" t="s">
        <v>32</v>
      </c>
      <c r="CW4" s="33" t="s">
        <v>33</v>
      </c>
      <c r="CX4" s="33" t="s">
        <v>34</v>
      </c>
      <c r="CY4" s="33" t="s">
        <v>35</v>
      </c>
      <c r="CZ4" s="33" t="s">
        <v>36</v>
      </c>
      <c r="DA4" s="33" t="s">
        <v>37</v>
      </c>
      <c r="DB4" s="224" t="s">
        <v>38</v>
      </c>
      <c r="DC4" s="224" t="s">
        <v>407</v>
      </c>
      <c r="DD4" s="30" t="s">
        <v>15</v>
      </c>
      <c r="DE4" s="30" t="s">
        <v>16</v>
      </c>
      <c r="DF4" s="30" t="s">
        <v>39</v>
      </c>
      <c r="DG4" s="30" t="s">
        <v>18</v>
      </c>
      <c r="DH4" s="30" t="s">
        <v>19</v>
      </c>
      <c r="DI4" s="30" t="s">
        <v>20</v>
      </c>
      <c r="DJ4" s="30" t="s">
        <v>21</v>
      </c>
      <c r="DK4" s="30" t="s">
        <v>22</v>
      </c>
      <c r="DL4" s="30" t="s">
        <v>23</v>
      </c>
      <c r="DM4" s="30" t="s">
        <v>24</v>
      </c>
      <c r="DN4" s="30" t="s">
        <v>25</v>
      </c>
      <c r="DO4" s="30" t="s">
        <v>26</v>
      </c>
      <c r="DP4" s="30" t="s">
        <v>27</v>
      </c>
      <c r="DQ4" s="30" t="s">
        <v>28</v>
      </c>
      <c r="DR4" s="30" t="s">
        <v>29</v>
      </c>
      <c r="DS4" s="30" t="s">
        <v>30</v>
      </c>
      <c r="DT4" s="30" t="s">
        <v>31</v>
      </c>
      <c r="DU4" s="30" t="s">
        <v>32</v>
      </c>
      <c r="DV4" s="30" t="s">
        <v>33</v>
      </c>
      <c r="DW4" s="30" t="s">
        <v>34</v>
      </c>
      <c r="DX4" s="30" t="s">
        <v>35</v>
      </c>
      <c r="DY4" s="30" t="s">
        <v>36</v>
      </c>
      <c r="DZ4" s="30" t="s">
        <v>37</v>
      </c>
      <c r="EB4" s="35" t="s">
        <v>40</v>
      </c>
      <c r="EC4" s="35" t="s">
        <v>41</v>
      </c>
      <c r="ED4" s="35" t="s">
        <v>42</v>
      </c>
      <c r="EH4" s="234" t="s">
        <v>4</v>
      </c>
      <c r="EI4" s="234" t="s">
        <v>411</v>
      </c>
      <c r="EJ4" s="235" t="s">
        <v>412</v>
      </c>
      <c r="EK4" s="235" t="s">
        <v>413</v>
      </c>
    </row>
    <row r="5" spans="1:141" ht="44.4" hidden="1" customHeight="1" x14ac:dyDescent="0.3">
      <c r="A5" s="36" t="s">
        <v>43</v>
      </c>
      <c r="B5" s="37" t="s">
        <v>44</v>
      </c>
      <c r="C5" s="38" t="s">
        <v>45</v>
      </c>
      <c r="D5" s="39" t="s">
        <v>46</v>
      </c>
      <c r="E5" s="40">
        <v>510</v>
      </c>
      <c r="F5" s="41" t="s">
        <v>47</v>
      </c>
      <c r="G5" s="42">
        <f t="shared" ref="G5:G39" si="0">SUM(H5:AD5)</f>
        <v>71000000</v>
      </c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>
        <v>35000000</v>
      </c>
      <c r="Y5" s="42"/>
      <c r="Z5" s="42"/>
      <c r="AA5" s="42"/>
      <c r="AB5" s="42"/>
      <c r="AC5" s="42"/>
      <c r="AD5" s="42">
        <f>30000000+5000000+5000000-4000000</f>
        <v>36000000</v>
      </c>
      <c r="AE5" s="43">
        <f t="shared" ref="AE5:AE16" si="1">+AF5/G5</f>
        <v>0.95115883098591547</v>
      </c>
      <c r="AF5" s="42">
        <f t="shared" ref="AF5:AF17" si="2">SUM(AG5:BC5)</f>
        <v>67532277</v>
      </c>
      <c r="AG5" s="44"/>
      <c r="AH5" s="42"/>
      <c r="AI5" s="45"/>
      <c r="AJ5" s="45"/>
      <c r="AK5" s="44"/>
      <c r="AL5" s="44"/>
      <c r="AM5" s="42"/>
      <c r="AN5" s="46"/>
      <c r="AO5" s="46"/>
      <c r="AP5" s="46"/>
      <c r="AQ5" s="46"/>
      <c r="AR5" s="46"/>
      <c r="AS5" s="46"/>
      <c r="AT5" s="46"/>
      <c r="AU5" s="46"/>
      <c r="AV5" s="42"/>
      <c r="AW5" s="42">
        <f>+'[1]OCTUBRE 2019'!$Z$3304</f>
        <v>34949989</v>
      </c>
      <c r="AX5" s="42"/>
      <c r="AY5" s="42"/>
      <c r="AZ5" s="42"/>
      <c r="BA5" s="42"/>
      <c r="BB5" s="42"/>
      <c r="BC5" s="42">
        <f>+'[2]SEPTIEMBRE 2019'!$AG$2922</f>
        <v>32582288</v>
      </c>
      <c r="BD5" s="43">
        <f t="shared" ref="BD5:BD68" si="3">1-AE5</f>
        <v>4.8841169014084529E-2</v>
      </c>
      <c r="BE5" s="42">
        <f t="shared" ref="BE5:BE39" si="4">SUM(BF5:CB5)</f>
        <v>3467723</v>
      </c>
      <c r="BF5" s="42">
        <f t="shared" ref="BF5:BH9" si="5">H5-AG5</f>
        <v>0</v>
      </c>
      <c r="BG5" s="42">
        <f t="shared" si="5"/>
        <v>0</v>
      </c>
      <c r="BH5" s="42">
        <f t="shared" si="5"/>
        <v>0</v>
      </c>
      <c r="BI5" s="42"/>
      <c r="BJ5" s="42">
        <f t="shared" ref="BJ5:BY9" si="6">L5-AK5</f>
        <v>0</v>
      </c>
      <c r="BK5" s="42">
        <f t="shared" si="6"/>
        <v>0</v>
      </c>
      <c r="BL5" s="42">
        <f t="shared" si="6"/>
        <v>0</v>
      </c>
      <c r="BM5" s="42">
        <f t="shared" si="6"/>
        <v>0</v>
      </c>
      <c r="BN5" s="42">
        <f t="shared" si="6"/>
        <v>0</v>
      </c>
      <c r="BO5" s="42">
        <f t="shared" si="6"/>
        <v>0</v>
      </c>
      <c r="BP5" s="42">
        <f t="shared" si="6"/>
        <v>0</v>
      </c>
      <c r="BQ5" s="42">
        <f t="shared" si="6"/>
        <v>0</v>
      </c>
      <c r="BR5" s="42">
        <f t="shared" si="6"/>
        <v>0</v>
      </c>
      <c r="BS5" s="42">
        <f t="shared" si="6"/>
        <v>0</v>
      </c>
      <c r="BT5" s="42">
        <f t="shared" si="6"/>
        <v>0</v>
      </c>
      <c r="BU5" s="42">
        <f t="shared" si="6"/>
        <v>0</v>
      </c>
      <c r="BV5" s="42">
        <f t="shared" si="6"/>
        <v>50011</v>
      </c>
      <c r="BW5" s="42">
        <f t="shared" si="6"/>
        <v>0</v>
      </c>
      <c r="BX5" s="42">
        <f t="shared" si="6"/>
        <v>0</v>
      </c>
      <c r="BY5" s="42">
        <f t="shared" si="6"/>
        <v>0</v>
      </c>
      <c r="BZ5" s="42">
        <f t="shared" ref="BT5:CB14" si="7">AB5-BA5</f>
        <v>0</v>
      </c>
      <c r="CA5" s="42"/>
      <c r="CB5" s="42">
        <f>AD5-BC5</f>
        <v>3417712</v>
      </c>
      <c r="CC5" s="43">
        <f t="shared" ref="CC5:CC68" si="8">+CD5/G5</f>
        <v>0.94456436619718309</v>
      </c>
      <c r="CD5" s="42">
        <f t="shared" ref="CD5:CD39" si="9">SUM(CE5:DA5)</f>
        <v>67064070</v>
      </c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>
        <f>+'[1]OCTUBRE 2019'!$H$3305+'[1]OCTUBRE 2019'!$H$3317+'[1]OCTUBRE 2019'!$H$3318+'[1]OCTUBRE 2019'!$H$3319+'[1]OCTUBRE 2019'!$H$3320+'[1]OCTUBRE 2019'!$H$3321+'[1]OCTUBRE 2019'!$H$3328+'[1]OCTUBRE 2019'!$H$3338</f>
        <v>34934861</v>
      </c>
      <c r="CV5" s="42"/>
      <c r="CW5" s="42"/>
      <c r="CX5" s="42"/>
      <c r="CY5" s="42"/>
      <c r="CZ5" s="42"/>
      <c r="DA5" s="42">
        <f>+'[1]OCTUBRE 2019'!$H$3315+'[1]OCTUBRE 2019'!$H$3322+'[1]OCTUBRE 2019'!$H$3323+'[1]OCTUBRE 2019'!$H$3324+'[1]OCTUBRE 2019'!$H$3326+'[1]OCTUBRE 2019'!$H$3327+'[1]OCTUBRE 2019'!$H$3329+'[1]OCTUBRE 2019'!$H$3331+'[1]OCTUBRE 2019'!$H$3332+'[1]OCTUBRE 2019'!$H$3333+'[1]OCTUBRE 2019'!$H$3336+'[1]OCTUBRE 2019'!$H$3337</f>
        <v>32129209</v>
      </c>
      <c r="DB5" s="43">
        <f t="shared" ref="DB5:DB68" si="10">1-CC5</f>
        <v>5.5435633802816908E-2</v>
      </c>
      <c r="DC5" s="42">
        <f t="shared" ref="DC5:DC39" si="11">SUM(DD5:DZ5)</f>
        <v>3935930</v>
      </c>
      <c r="DD5" s="42">
        <f t="shared" ref="DD5:DS20" si="12">H5-CE5</f>
        <v>0</v>
      </c>
      <c r="DE5" s="42">
        <f t="shared" si="12"/>
        <v>0</v>
      </c>
      <c r="DF5" s="42">
        <f t="shared" si="12"/>
        <v>0</v>
      </c>
      <c r="DG5" s="42">
        <f t="shared" si="12"/>
        <v>0</v>
      </c>
      <c r="DH5" s="42">
        <f t="shared" si="12"/>
        <v>0</v>
      </c>
      <c r="DI5" s="42">
        <f t="shared" si="12"/>
        <v>0</v>
      </c>
      <c r="DJ5" s="42">
        <f t="shared" si="12"/>
        <v>0</v>
      </c>
      <c r="DK5" s="42">
        <f t="shared" si="12"/>
        <v>0</v>
      </c>
      <c r="DL5" s="42">
        <f t="shared" si="12"/>
        <v>0</v>
      </c>
      <c r="DM5" s="42">
        <f t="shared" si="12"/>
        <v>0</v>
      </c>
      <c r="DN5" s="42">
        <f t="shared" si="12"/>
        <v>0</v>
      </c>
      <c r="DO5" s="42">
        <f t="shared" si="12"/>
        <v>0</v>
      </c>
      <c r="DP5" s="42">
        <f t="shared" si="12"/>
        <v>0</v>
      </c>
      <c r="DQ5" s="42">
        <f t="shared" si="12"/>
        <v>0</v>
      </c>
      <c r="DR5" s="42">
        <f t="shared" si="12"/>
        <v>0</v>
      </c>
      <c r="DS5" s="42">
        <f t="shared" si="12"/>
        <v>0</v>
      </c>
      <c r="DT5" s="42">
        <f t="shared" ref="DT5:DX14" si="13">X5-CU5</f>
        <v>65139</v>
      </c>
      <c r="DU5" s="42">
        <f t="shared" si="13"/>
        <v>0</v>
      </c>
      <c r="DV5" s="42">
        <f t="shared" si="13"/>
        <v>0</v>
      </c>
      <c r="DW5" s="42">
        <f t="shared" si="13"/>
        <v>0</v>
      </c>
      <c r="DX5" s="42">
        <f t="shared" si="13"/>
        <v>0</v>
      </c>
      <c r="DY5" s="42"/>
      <c r="DZ5" s="42">
        <f t="shared" ref="DZ5:DZ14" si="14">AD5-DA5</f>
        <v>3870791</v>
      </c>
      <c r="EB5" s="47">
        <f t="shared" ref="EB5:EB68" si="15">+G5</f>
        <v>71000000</v>
      </c>
      <c r="EC5" s="47">
        <f t="shared" ref="EC5:EC68" si="16">+AF5+BE5</f>
        <v>71000000</v>
      </c>
      <c r="ED5" s="47">
        <f t="shared" ref="ED5:ED68" si="17">+CD5+DC5</f>
        <v>71000000</v>
      </c>
    </row>
    <row r="6" spans="1:141" ht="60" hidden="1" customHeight="1" x14ac:dyDescent="0.3">
      <c r="A6" s="48"/>
      <c r="B6" s="49"/>
      <c r="C6" s="38" t="s">
        <v>48</v>
      </c>
      <c r="D6" s="39" t="s">
        <v>49</v>
      </c>
      <c r="E6" s="40">
        <v>510</v>
      </c>
      <c r="F6" s="41" t="s">
        <v>50</v>
      </c>
      <c r="G6" s="42">
        <f t="shared" si="0"/>
        <v>20000000</v>
      </c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>
        <v>20000000</v>
      </c>
      <c r="Y6" s="42"/>
      <c r="Z6" s="42"/>
      <c r="AA6" s="42"/>
      <c r="AB6" s="42"/>
      <c r="AC6" s="42"/>
      <c r="AD6" s="42"/>
      <c r="AE6" s="43">
        <f t="shared" si="1"/>
        <v>1</v>
      </c>
      <c r="AF6" s="42">
        <f t="shared" si="2"/>
        <v>20000000</v>
      </c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>
        <f>+'[2]SEPTIEMBRE 2019'!$Z$2967</f>
        <v>20000000</v>
      </c>
      <c r="AX6" s="42"/>
      <c r="AY6" s="42"/>
      <c r="AZ6" s="42"/>
      <c r="BA6" s="42"/>
      <c r="BB6" s="42"/>
      <c r="BC6" s="42"/>
      <c r="BD6" s="43">
        <f t="shared" si="3"/>
        <v>0</v>
      </c>
      <c r="BE6" s="42">
        <f t="shared" si="4"/>
        <v>0</v>
      </c>
      <c r="BF6" s="42">
        <f t="shared" si="5"/>
        <v>0</v>
      </c>
      <c r="BG6" s="42">
        <f t="shared" si="5"/>
        <v>0</v>
      </c>
      <c r="BH6" s="42">
        <f t="shared" si="5"/>
        <v>0</v>
      </c>
      <c r="BI6" s="42"/>
      <c r="BJ6" s="42">
        <f t="shared" si="6"/>
        <v>0</v>
      </c>
      <c r="BK6" s="42">
        <f t="shared" si="6"/>
        <v>0</v>
      </c>
      <c r="BL6" s="42">
        <f t="shared" si="6"/>
        <v>0</v>
      </c>
      <c r="BM6" s="42">
        <f t="shared" si="6"/>
        <v>0</v>
      </c>
      <c r="BN6" s="42">
        <f t="shared" si="6"/>
        <v>0</v>
      </c>
      <c r="BO6" s="42">
        <f t="shared" si="6"/>
        <v>0</v>
      </c>
      <c r="BP6" s="42">
        <f t="shared" si="6"/>
        <v>0</v>
      </c>
      <c r="BQ6" s="42">
        <f t="shared" si="6"/>
        <v>0</v>
      </c>
      <c r="BR6" s="42">
        <f t="shared" si="6"/>
        <v>0</v>
      </c>
      <c r="BS6" s="42">
        <f t="shared" si="6"/>
        <v>0</v>
      </c>
      <c r="BT6" s="42">
        <f t="shared" si="7"/>
        <v>0</v>
      </c>
      <c r="BU6" s="42">
        <f t="shared" si="7"/>
        <v>0</v>
      </c>
      <c r="BV6" s="42">
        <f t="shared" si="7"/>
        <v>0</v>
      </c>
      <c r="BW6" s="42">
        <f t="shared" si="7"/>
        <v>0</v>
      </c>
      <c r="BX6" s="42">
        <f t="shared" si="7"/>
        <v>0</v>
      </c>
      <c r="BY6" s="42">
        <f t="shared" si="7"/>
        <v>0</v>
      </c>
      <c r="BZ6" s="42">
        <f t="shared" si="7"/>
        <v>0</v>
      </c>
      <c r="CA6" s="42"/>
      <c r="CB6" s="42">
        <f>AD6-BC6</f>
        <v>0</v>
      </c>
      <c r="CC6" s="43">
        <f t="shared" si="8"/>
        <v>1</v>
      </c>
      <c r="CD6" s="42">
        <f t="shared" si="9"/>
        <v>20000000</v>
      </c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>
        <f>+'[1]OCTUBRE 2019'!$H$3347</f>
        <v>20000000</v>
      </c>
      <c r="CV6" s="42"/>
      <c r="CW6" s="42"/>
      <c r="CX6" s="42"/>
      <c r="CY6" s="42"/>
      <c r="CZ6" s="42"/>
      <c r="DA6" s="42"/>
      <c r="DB6" s="43">
        <f t="shared" si="10"/>
        <v>0</v>
      </c>
      <c r="DC6" s="42">
        <f t="shared" si="11"/>
        <v>0</v>
      </c>
      <c r="DD6" s="42">
        <f t="shared" si="12"/>
        <v>0</v>
      </c>
      <c r="DE6" s="42">
        <f t="shared" si="12"/>
        <v>0</v>
      </c>
      <c r="DF6" s="42">
        <f t="shared" si="12"/>
        <v>0</v>
      </c>
      <c r="DG6" s="42">
        <f t="shared" si="12"/>
        <v>0</v>
      </c>
      <c r="DH6" s="42">
        <f t="shared" si="12"/>
        <v>0</v>
      </c>
      <c r="DI6" s="42">
        <f t="shared" si="12"/>
        <v>0</v>
      </c>
      <c r="DJ6" s="42">
        <f t="shared" si="12"/>
        <v>0</v>
      </c>
      <c r="DK6" s="42">
        <f t="shared" si="12"/>
        <v>0</v>
      </c>
      <c r="DL6" s="42">
        <f t="shared" si="12"/>
        <v>0</v>
      </c>
      <c r="DM6" s="42">
        <f t="shared" si="12"/>
        <v>0</v>
      </c>
      <c r="DN6" s="42">
        <f t="shared" si="12"/>
        <v>0</v>
      </c>
      <c r="DO6" s="42">
        <f t="shared" si="12"/>
        <v>0</v>
      </c>
      <c r="DP6" s="42">
        <f t="shared" si="12"/>
        <v>0</v>
      </c>
      <c r="DQ6" s="42">
        <f t="shared" si="12"/>
        <v>0</v>
      </c>
      <c r="DR6" s="42">
        <f t="shared" si="12"/>
        <v>0</v>
      </c>
      <c r="DS6" s="42">
        <f t="shared" si="12"/>
        <v>0</v>
      </c>
      <c r="DT6" s="42">
        <f t="shared" si="13"/>
        <v>0</v>
      </c>
      <c r="DU6" s="42">
        <f t="shared" si="13"/>
        <v>0</v>
      </c>
      <c r="DV6" s="42">
        <f t="shared" si="13"/>
        <v>0</v>
      </c>
      <c r="DW6" s="42">
        <f t="shared" si="13"/>
        <v>0</v>
      </c>
      <c r="DX6" s="42">
        <f t="shared" si="13"/>
        <v>0</v>
      </c>
      <c r="DY6" s="42"/>
      <c r="DZ6" s="42">
        <f t="shared" si="14"/>
        <v>0</v>
      </c>
      <c r="EB6" s="47">
        <f t="shared" si="15"/>
        <v>20000000</v>
      </c>
      <c r="EC6" s="47">
        <f t="shared" si="16"/>
        <v>20000000</v>
      </c>
      <c r="ED6" s="47">
        <f t="shared" si="17"/>
        <v>20000000</v>
      </c>
    </row>
    <row r="7" spans="1:141" ht="32.4" hidden="1" customHeight="1" x14ac:dyDescent="0.3">
      <c r="A7" s="48"/>
      <c r="B7" s="49"/>
      <c r="C7" s="38" t="s">
        <v>51</v>
      </c>
      <c r="D7" s="39" t="s">
        <v>52</v>
      </c>
      <c r="E7" s="40">
        <v>510</v>
      </c>
      <c r="F7" s="41" t="s">
        <v>53</v>
      </c>
      <c r="G7" s="42">
        <f t="shared" si="0"/>
        <v>25000000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>
        <v>25000000</v>
      </c>
      <c r="Y7" s="42"/>
      <c r="Z7" s="42"/>
      <c r="AA7" s="42"/>
      <c r="AB7" s="42"/>
      <c r="AC7" s="42"/>
      <c r="AD7" s="42"/>
      <c r="AE7" s="43">
        <f t="shared" si="1"/>
        <v>1</v>
      </c>
      <c r="AF7" s="42">
        <f t="shared" si="2"/>
        <v>25000000</v>
      </c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>
        <f>+'[2]SEPTIEMBRE 2019'!$Z$2981</f>
        <v>25000000</v>
      </c>
      <c r="AX7" s="42"/>
      <c r="AY7" s="42"/>
      <c r="AZ7" s="42"/>
      <c r="BA7" s="42"/>
      <c r="BB7" s="42"/>
      <c r="BC7" s="42"/>
      <c r="BD7" s="43">
        <f t="shared" si="3"/>
        <v>0</v>
      </c>
      <c r="BE7" s="42">
        <f t="shared" si="4"/>
        <v>0</v>
      </c>
      <c r="BF7" s="42">
        <f t="shared" si="5"/>
        <v>0</v>
      </c>
      <c r="BG7" s="42">
        <f t="shared" si="5"/>
        <v>0</v>
      </c>
      <c r="BH7" s="42">
        <f t="shared" si="5"/>
        <v>0</v>
      </c>
      <c r="BI7" s="42"/>
      <c r="BJ7" s="42">
        <f t="shared" si="6"/>
        <v>0</v>
      </c>
      <c r="BK7" s="42">
        <f t="shared" si="6"/>
        <v>0</v>
      </c>
      <c r="BL7" s="42">
        <f t="shared" si="6"/>
        <v>0</v>
      </c>
      <c r="BM7" s="42">
        <f t="shared" si="6"/>
        <v>0</v>
      </c>
      <c r="BN7" s="42">
        <f t="shared" si="6"/>
        <v>0</v>
      </c>
      <c r="BO7" s="42">
        <f t="shared" si="6"/>
        <v>0</v>
      </c>
      <c r="BP7" s="42">
        <f t="shared" si="6"/>
        <v>0</v>
      </c>
      <c r="BQ7" s="42">
        <f t="shared" si="6"/>
        <v>0</v>
      </c>
      <c r="BR7" s="42">
        <f t="shared" si="6"/>
        <v>0</v>
      </c>
      <c r="BS7" s="42">
        <f t="shared" si="6"/>
        <v>0</v>
      </c>
      <c r="BT7" s="42">
        <f t="shared" si="7"/>
        <v>0</v>
      </c>
      <c r="BU7" s="42">
        <f t="shared" si="7"/>
        <v>0</v>
      </c>
      <c r="BV7" s="42">
        <f t="shared" si="7"/>
        <v>0</v>
      </c>
      <c r="BW7" s="42">
        <f t="shared" si="7"/>
        <v>0</v>
      </c>
      <c r="BX7" s="42">
        <f t="shared" si="7"/>
        <v>0</v>
      </c>
      <c r="BY7" s="42">
        <f t="shared" si="7"/>
        <v>0</v>
      </c>
      <c r="BZ7" s="42">
        <f t="shared" si="7"/>
        <v>0</v>
      </c>
      <c r="CA7" s="42"/>
      <c r="CB7" s="42">
        <f>AD7-BC7</f>
        <v>0</v>
      </c>
      <c r="CC7" s="43">
        <f t="shared" si="8"/>
        <v>1</v>
      </c>
      <c r="CD7" s="42">
        <f t="shared" si="9"/>
        <v>25000000</v>
      </c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>
        <f>+'[1]OCTUBRE 2019'!$H$3361</f>
        <v>25000000</v>
      </c>
      <c r="CV7" s="42"/>
      <c r="CW7" s="42"/>
      <c r="CX7" s="42"/>
      <c r="CY7" s="42"/>
      <c r="CZ7" s="42"/>
      <c r="DA7" s="42"/>
      <c r="DB7" s="43">
        <f t="shared" si="10"/>
        <v>0</v>
      </c>
      <c r="DC7" s="42">
        <f t="shared" si="11"/>
        <v>0</v>
      </c>
      <c r="DD7" s="42">
        <f t="shared" si="12"/>
        <v>0</v>
      </c>
      <c r="DE7" s="42">
        <f t="shared" si="12"/>
        <v>0</v>
      </c>
      <c r="DF7" s="42">
        <f t="shared" si="12"/>
        <v>0</v>
      </c>
      <c r="DG7" s="42">
        <f t="shared" si="12"/>
        <v>0</v>
      </c>
      <c r="DH7" s="42">
        <f t="shared" si="12"/>
        <v>0</v>
      </c>
      <c r="DI7" s="42">
        <f t="shared" si="12"/>
        <v>0</v>
      </c>
      <c r="DJ7" s="42">
        <f t="shared" si="12"/>
        <v>0</v>
      </c>
      <c r="DK7" s="42">
        <f t="shared" si="12"/>
        <v>0</v>
      </c>
      <c r="DL7" s="42">
        <f t="shared" si="12"/>
        <v>0</v>
      </c>
      <c r="DM7" s="42">
        <f t="shared" si="12"/>
        <v>0</v>
      </c>
      <c r="DN7" s="42">
        <f t="shared" si="12"/>
        <v>0</v>
      </c>
      <c r="DO7" s="42">
        <f t="shared" si="12"/>
        <v>0</v>
      </c>
      <c r="DP7" s="42">
        <f t="shared" si="12"/>
        <v>0</v>
      </c>
      <c r="DQ7" s="42">
        <f t="shared" si="12"/>
        <v>0</v>
      </c>
      <c r="DR7" s="42">
        <f t="shared" si="12"/>
        <v>0</v>
      </c>
      <c r="DS7" s="42">
        <f t="shared" si="12"/>
        <v>0</v>
      </c>
      <c r="DT7" s="42">
        <f t="shared" si="13"/>
        <v>0</v>
      </c>
      <c r="DU7" s="42">
        <f t="shared" si="13"/>
        <v>0</v>
      </c>
      <c r="DV7" s="42">
        <f t="shared" si="13"/>
        <v>0</v>
      </c>
      <c r="DW7" s="42">
        <f t="shared" si="13"/>
        <v>0</v>
      </c>
      <c r="DX7" s="42">
        <f t="shared" si="13"/>
        <v>0</v>
      </c>
      <c r="DY7" s="42"/>
      <c r="DZ7" s="42">
        <f t="shared" si="14"/>
        <v>0</v>
      </c>
      <c r="EB7" s="47">
        <f t="shared" si="15"/>
        <v>25000000</v>
      </c>
      <c r="EC7" s="47">
        <f t="shared" si="16"/>
        <v>25000000</v>
      </c>
      <c r="ED7" s="47">
        <f t="shared" si="17"/>
        <v>25000000</v>
      </c>
    </row>
    <row r="8" spans="1:141" ht="72.599999999999994" hidden="1" customHeight="1" x14ac:dyDescent="0.3">
      <c r="A8" s="48"/>
      <c r="B8" s="49"/>
      <c r="C8" s="38" t="s">
        <v>54</v>
      </c>
      <c r="D8" s="50" t="s">
        <v>55</v>
      </c>
      <c r="E8" s="40">
        <v>510</v>
      </c>
      <c r="F8" s="41" t="s">
        <v>53</v>
      </c>
      <c r="G8" s="42">
        <f t="shared" si="0"/>
        <v>6000000</v>
      </c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>
        <v>6000000</v>
      </c>
      <c r="Y8" s="42"/>
      <c r="Z8" s="42"/>
      <c r="AA8" s="42"/>
      <c r="AB8" s="42"/>
      <c r="AC8" s="42"/>
      <c r="AD8" s="42"/>
      <c r="AE8" s="43">
        <f t="shared" si="1"/>
        <v>1</v>
      </c>
      <c r="AF8" s="42">
        <f t="shared" si="2"/>
        <v>6000000</v>
      </c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>
        <f>+'[2]SEPTIEMBRE 2019'!$Z$2996</f>
        <v>6000000</v>
      </c>
      <c r="AX8" s="42"/>
      <c r="AY8" s="42"/>
      <c r="AZ8" s="42"/>
      <c r="BA8" s="42"/>
      <c r="BB8" s="42"/>
      <c r="BC8" s="42"/>
      <c r="BD8" s="43">
        <f t="shared" si="3"/>
        <v>0</v>
      </c>
      <c r="BE8" s="42">
        <f t="shared" si="4"/>
        <v>0</v>
      </c>
      <c r="BF8" s="42">
        <f t="shared" si="5"/>
        <v>0</v>
      </c>
      <c r="BG8" s="42">
        <f t="shared" si="5"/>
        <v>0</v>
      </c>
      <c r="BH8" s="42">
        <f t="shared" si="5"/>
        <v>0</v>
      </c>
      <c r="BI8" s="42"/>
      <c r="BJ8" s="42">
        <f t="shared" si="6"/>
        <v>0</v>
      </c>
      <c r="BK8" s="42">
        <f t="shared" si="6"/>
        <v>0</v>
      </c>
      <c r="BL8" s="42">
        <f t="shared" si="6"/>
        <v>0</v>
      </c>
      <c r="BM8" s="42">
        <f t="shared" si="6"/>
        <v>0</v>
      </c>
      <c r="BN8" s="42">
        <f t="shared" si="6"/>
        <v>0</v>
      </c>
      <c r="BO8" s="42">
        <f t="shared" si="6"/>
        <v>0</v>
      </c>
      <c r="BP8" s="42">
        <f t="shared" si="6"/>
        <v>0</v>
      </c>
      <c r="BQ8" s="42">
        <f t="shared" si="6"/>
        <v>0</v>
      </c>
      <c r="BR8" s="42">
        <f t="shared" si="6"/>
        <v>0</v>
      </c>
      <c r="BS8" s="42">
        <f t="shared" si="6"/>
        <v>0</v>
      </c>
      <c r="BT8" s="42">
        <f t="shared" si="7"/>
        <v>0</v>
      </c>
      <c r="BU8" s="42">
        <f t="shared" si="7"/>
        <v>0</v>
      </c>
      <c r="BV8" s="42">
        <f t="shared" si="7"/>
        <v>0</v>
      </c>
      <c r="BW8" s="42">
        <f t="shared" si="7"/>
        <v>0</v>
      </c>
      <c r="BX8" s="42">
        <f t="shared" si="7"/>
        <v>0</v>
      </c>
      <c r="BY8" s="42">
        <f t="shared" si="7"/>
        <v>0</v>
      </c>
      <c r="BZ8" s="42">
        <f t="shared" si="7"/>
        <v>0</v>
      </c>
      <c r="CA8" s="42"/>
      <c r="CB8" s="42">
        <f>AD8-BC8</f>
        <v>0</v>
      </c>
      <c r="CC8" s="43">
        <f t="shared" si="8"/>
        <v>0.76107266666666662</v>
      </c>
      <c r="CD8" s="42">
        <f t="shared" si="9"/>
        <v>4566436</v>
      </c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>
        <f>+'[3]NOVIEMBRE 2019'!$H$3787</f>
        <v>4566436</v>
      </c>
      <c r="CV8" s="42"/>
      <c r="CW8" s="42"/>
      <c r="CX8" s="42"/>
      <c r="CY8" s="42"/>
      <c r="CZ8" s="42"/>
      <c r="DA8" s="42"/>
      <c r="DB8" s="43">
        <f t="shared" si="10"/>
        <v>0.23892733333333338</v>
      </c>
      <c r="DC8" s="42">
        <f t="shared" si="11"/>
        <v>1433564</v>
      </c>
      <c r="DD8" s="42">
        <f t="shared" si="12"/>
        <v>0</v>
      </c>
      <c r="DE8" s="42">
        <f t="shared" si="12"/>
        <v>0</v>
      </c>
      <c r="DF8" s="42">
        <f t="shared" si="12"/>
        <v>0</v>
      </c>
      <c r="DG8" s="42">
        <f t="shared" si="12"/>
        <v>0</v>
      </c>
      <c r="DH8" s="42">
        <f t="shared" si="12"/>
        <v>0</v>
      </c>
      <c r="DI8" s="42">
        <f t="shared" si="12"/>
        <v>0</v>
      </c>
      <c r="DJ8" s="42">
        <f t="shared" si="12"/>
        <v>0</v>
      </c>
      <c r="DK8" s="42">
        <f t="shared" si="12"/>
        <v>0</v>
      </c>
      <c r="DL8" s="42">
        <f t="shared" si="12"/>
        <v>0</v>
      </c>
      <c r="DM8" s="42">
        <f t="shared" si="12"/>
        <v>0</v>
      </c>
      <c r="DN8" s="42">
        <f t="shared" si="12"/>
        <v>0</v>
      </c>
      <c r="DO8" s="42">
        <f t="shared" si="12"/>
        <v>0</v>
      </c>
      <c r="DP8" s="42">
        <f t="shared" si="12"/>
        <v>0</v>
      </c>
      <c r="DQ8" s="42">
        <f t="shared" si="12"/>
        <v>0</v>
      </c>
      <c r="DR8" s="42">
        <f t="shared" si="12"/>
        <v>0</v>
      </c>
      <c r="DS8" s="42">
        <f t="shared" si="12"/>
        <v>0</v>
      </c>
      <c r="DT8" s="42">
        <f t="shared" si="13"/>
        <v>1433564</v>
      </c>
      <c r="DU8" s="42">
        <f t="shared" si="13"/>
        <v>0</v>
      </c>
      <c r="DV8" s="42">
        <f t="shared" si="13"/>
        <v>0</v>
      </c>
      <c r="DW8" s="42">
        <f t="shared" si="13"/>
        <v>0</v>
      </c>
      <c r="DX8" s="42">
        <f t="shared" si="13"/>
        <v>0</v>
      </c>
      <c r="DY8" s="42"/>
      <c r="DZ8" s="42">
        <f t="shared" si="14"/>
        <v>0</v>
      </c>
      <c r="EB8" s="47">
        <f t="shared" si="15"/>
        <v>6000000</v>
      </c>
      <c r="EC8" s="47">
        <f t="shared" si="16"/>
        <v>6000000</v>
      </c>
      <c r="ED8" s="47">
        <f t="shared" si="17"/>
        <v>6000000</v>
      </c>
    </row>
    <row r="9" spans="1:141" ht="59.4" hidden="1" customHeight="1" x14ac:dyDescent="0.3">
      <c r="A9" s="48"/>
      <c r="B9" s="49"/>
      <c r="C9" s="38" t="s">
        <v>56</v>
      </c>
      <c r="D9" s="50" t="s">
        <v>57</v>
      </c>
      <c r="E9" s="40">
        <v>510</v>
      </c>
      <c r="F9" s="41" t="s">
        <v>53</v>
      </c>
      <c r="G9" s="42">
        <f t="shared" si="0"/>
        <v>30000000</v>
      </c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>
        <v>30000000</v>
      </c>
      <c r="Y9" s="42"/>
      <c r="Z9" s="42"/>
      <c r="AA9" s="42"/>
      <c r="AB9" s="42"/>
      <c r="AC9" s="42"/>
      <c r="AD9" s="42"/>
      <c r="AE9" s="43">
        <f t="shared" si="1"/>
        <v>0.67111109999999996</v>
      </c>
      <c r="AF9" s="42">
        <f t="shared" si="2"/>
        <v>20133333</v>
      </c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>
        <f>+'[1]OCTUBRE 2019'!$Z$3391</f>
        <v>20133333</v>
      </c>
      <c r="AX9" s="42"/>
      <c r="AY9" s="42"/>
      <c r="AZ9" s="42"/>
      <c r="BA9" s="42"/>
      <c r="BB9" s="42"/>
      <c r="BC9" s="42"/>
      <c r="BD9" s="43">
        <f t="shared" si="3"/>
        <v>0.32888890000000004</v>
      </c>
      <c r="BE9" s="42">
        <f t="shared" si="4"/>
        <v>9866667</v>
      </c>
      <c r="BF9" s="42">
        <f t="shared" si="5"/>
        <v>0</v>
      </c>
      <c r="BG9" s="42">
        <f t="shared" si="5"/>
        <v>0</v>
      </c>
      <c r="BH9" s="42">
        <f t="shared" si="5"/>
        <v>0</v>
      </c>
      <c r="BI9" s="42"/>
      <c r="BJ9" s="42">
        <f t="shared" si="6"/>
        <v>0</v>
      </c>
      <c r="BK9" s="42">
        <f t="shared" si="6"/>
        <v>0</v>
      </c>
      <c r="BL9" s="42">
        <f t="shared" si="6"/>
        <v>0</v>
      </c>
      <c r="BM9" s="42">
        <f t="shared" si="6"/>
        <v>0</v>
      </c>
      <c r="BN9" s="42">
        <f t="shared" si="6"/>
        <v>0</v>
      </c>
      <c r="BO9" s="42">
        <f t="shared" si="6"/>
        <v>0</v>
      </c>
      <c r="BP9" s="42">
        <f t="shared" si="6"/>
        <v>0</v>
      </c>
      <c r="BQ9" s="42">
        <f t="shared" si="6"/>
        <v>0</v>
      </c>
      <c r="BR9" s="42">
        <f t="shared" si="6"/>
        <v>0</v>
      </c>
      <c r="BS9" s="42">
        <f t="shared" si="6"/>
        <v>0</v>
      </c>
      <c r="BT9" s="42">
        <f t="shared" si="7"/>
        <v>0</v>
      </c>
      <c r="BU9" s="42">
        <f t="shared" si="7"/>
        <v>0</v>
      </c>
      <c r="BV9" s="42">
        <f t="shared" si="7"/>
        <v>9866667</v>
      </c>
      <c r="BW9" s="42">
        <f t="shared" si="7"/>
        <v>0</v>
      </c>
      <c r="BX9" s="42">
        <f t="shared" si="7"/>
        <v>0</v>
      </c>
      <c r="BY9" s="42">
        <f t="shared" si="7"/>
        <v>0</v>
      </c>
      <c r="BZ9" s="42">
        <f t="shared" si="7"/>
        <v>0</v>
      </c>
      <c r="CA9" s="42"/>
      <c r="CB9" s="42">
        <f>AD9-BC9</f>
        <v>0</v>
      </c>
      <c r="CC9" s="43">
        <f t="shared" si="8"/>
        <v>0.67111109999999996</v>
      </c>
      <c r="CD9" s="42">
        <f t="shared" si="9"/>
        <v>20133333</v>
      </c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>
        <f>+'[4]JULIO 2019'!$H$2254</f>
        <v>20133333</v>
      </c>
      <c r="CV9" s="42"/>
      <c r="CW9" s="42"/>
      <c r="CX9" s="42"/>
      <c r="CY9" s="42"/>
      <c r="CZ9" s="42"/>
      <c r="DA9" s="42"/>
      <c r="DB9" s="43">
        <f t="shared" si="10"/>
        <v>0.32888890000000004</v>
      </c>
      <c r="DC9" s="42">
        <f t="shared" si="11"/>
        <v>9866667</v>
      </c>
      <c r="DD9" s="42">
        <f t="shared" si="12"/>
        <v>0</v>
      </c>
      <c r="DE9" s="42">
        <f t="shared" si="12"/>
        <v>0</v>
      </c>
      <c r="DF9" s="42">
        <f t="shared" si="12"/>
        <v>0</v>
      </c>
      <c r="DG9" s="42">
        <f t="shared" si="12"/>
        <v>0</v>
      </c>
      <c r="DH9" s="42">
        <f t="shared" si="12"/>
        <v>0</v>
      </c>
      <c r="DI9" s="42">
        <f t="shared" si="12"/>
        <v>0</v>
      </c>
      <c r="DJ9" s="42">
        <f t="shared" si="12"/>
        <v>0</v>
      </c>
      <c r="DK9" s="42">
        <f t="shared" si="12"/>
        <v>0</v>
      </c>
      <c r="DL9" s="42">
        <f t="shared" si="12"/>
        <v>0</v>
      </c>
      <c r="DM9" s="42">
        <f t="shared" si="12"/>
        <v>0</v>
      </c>
      <c r="DN9" s="42">
        <f t="shared" si="12"/>
        <v>0</v>
      </c>
      <c r="DO9" s="42">
        <f t="shared" si="12"/>
        <v>0</v>
      </c>
      <c r="DP9" s="42">
        <f t="shared" si="12"/>
        <v>0</v>
      </c>
      <c r="DQ9" s="42">
        <f t="shared" si="12"/>
        <v>0</v>
      </c>
      <c r="DR9" s="42">
        <f t="shared" si="12"/>
        <v>0</v>
      </c>
      <c r="DS9" s="42">
        <f t="shared" si="12"/>
        <v>0</v>
      </c>
      <c r="DT9" s="42">
        <f t="shared" si="13"/>
        <v>9866667</v>
      </c>
      <c r="DU9" s="42">
        <f t="shared" si="13"/>
        <v>0</v>
      </c>
      <c r="DV9" s="42">
        <f t="shared" si="13"/>
        <v>0</v>
      </c>
      <c r="DW9" s="42">
        <f t="shared" si="13"/>
        <v>0</v>
      </c>
      <c r="DX9" s="42">
        <f t="shared" si="13"/>
        <v>0</v>
      </c>
      <c r="DY9" s="42"/>
      <c r="DZ9" s="42">
        <f t="shared" si="14"/>
        <v>0</v>
      </c>
      <c r="EB9" s="47">
        <f t="shared" si="15"/>
        <v>30000000</v>
      </c>
      <c r="EC9" s="47">
        <f t="shared" si="16"/>
        <v>30000000</v>
      </c>
      <c r="ED9" s="47">
        <f t="shared" si="17"/>
        <v>30000000</v>
      </c>
    </row>
    <row r="10" spans="1:141" ht="36.6" hidden="1" customHeight="1" x14ac:dyDescent="0.3">
      <c r="A10" s="48"/>
      <c r="B10" s="51"/>
      <c r="C10" s="38" t="s">
        <v>58</v>
      </c>
      <c r="D10" s="50" t="s">
        <v>59</v>
      </c>
      <c r="E10" s="40">
        <v>510</v>
      </c>
      <c r="F10" s="41" t="s">
        <v>53</v>
      </c>
      <c r="G10" s="42">
        <f t="shared" si="0"/>
        <v>5000000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>
        <v>5000000</v>
      </c>
      <c r="Y10" s="42"/>
      <c r="Z10" s="42"/>
      <c r="AA10" s="42"/>
      <c r="AB10" s="42"/>
      <c r="AC10" s="42"/>
      <c r="AD10" s="42"/>
      <c r="AE10" s="43">
        <f t="shared" si="1"/>
        <v>0.9982666</v>
      </c>
      <c r="AF10" s="42">
        <f t="shared" si="2"/>
        <v>4991333</v>
      </c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>
        <f>+'[1]OCTUBRE 2019'!$Z$3398</f>
        <v>4991333</v>
      </c>
      <c r="AX10" s="42"/>
      <c r="AY10" s="42"/>
      <c r="AZ10" s="42"/>
      <c r="BA10" s="42"/>
      <c r="BB10" s="42"/>
      <c r="BC10" s="42"/>
      <c r="BD10" s="43">
        <f t="shared" si="3"/>
        <v>1.7333999999999961E-3</v>
      </c>
      <c r="BE10" s="42">
        <f t="shared" si="4"/>
        <v>8667</v>
      </c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>
        <f t="shared" si="7"/>
        <v>8667</v>
      </c>
      <c r="BW10" s="42">
        <f t="shared" si="7"/>
        <v>0</v>
      </c>
      <c r="BX10" s="42"/>
      <c r="BY10" s="42"/>
      <c r="BZ10" s="42"/>
      <c r="CA10" s="42"/>
      <c r="CB10" s="42"/>
      <c r="CC10" s="43">
        <f t="shared" si="8"/>
        <v>0.9982666</v>
      </c>
      <c r="CD10" s="42">
        <f t="shared" si="9"/>
        <v>4991333</v>
      </c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>
        <f>+'[5]JUNIO 2019'!$H$1827</f>
        <v>4991333</v>
      </c>
      <c r="CV10" s="42"/>
      <c r="CW10" s="42"/>
      <c r="CX10" s="42"/>
      <c r="CY10" s="42"/>
      <c r="CZ10" s="42"/>
      <c r="DA10" s="42"/>
      <c r="DB10" s="43">
        <f t="shared" si="10"/>
        <v>1.7333999999999961E-3</v>
      </c>
      <c r="DC10" s="42">
        <f t="shared" si="11"/>
        <v>8667</v>
      </c>
      <c r="DD10" s="42">
        <f t="shared" si="12"/>
        <v>0</v>
      </c>
      <c r="DE10" s="42">
        <f t="shared" si="12"/>
        <v>0</v>
      </c>
      <c r="DF10" s="42">
        <f t="shared" si="12"/>
        <v>0</v>
      </c>
      <c r="DG10" s="42">
        <f t="shared" si="12"/>
        <v>0</v>
      </c>
      <c r="DH10" s="42">
        <f t="shared" si="12"/>
        <v>0</v>
      </c>
      <c r="DI10" s="42">
        <f t="shared" si="12"/>
        <v>0</v>
      </c>
      <c r="DJ10" s="42">
        <f t="shared" si="12"/>
        <v>0</v>
      </c>
      <c r="DK10" s="42">
        <f t="shared" si="12"/>
        <v>0</v>
      </c>
      <c r="DL10" s="42">
        <f t="shared" si="12"/>
        <v>0</v>
      </c>
      <c r="DM10" s="42">
        <f t="shared" si="12"/>
        <v>0</v>
      </c>
      <c r="DN10" s="42">
        <f t="shared" si="12"/>
        <v>0</v>
      </c>
      <c r="DO10" s="42">
        <f t="shared" si="12"/>
        <v>0</v>
      </c>
      <c r="DP10" s="42">
        <f t="shared" si="12"/>
        <v>0</v>
      </c>
      <c r="DQ10" s="42">
        <f t="shared" si="12"/>
        <v>0</v>
      </c>
      <c r="DR10" s="42">
        <f t="shared" si="12"/>
        <v>0</v>
      </c>
      <c r="DS10" s="42">
        <f t="shared" si="12"/>
        <v>0</v>
      </c>
      <c r="DT10" s="42">
        <f t="shared" si="13"/>
        <v>8667</v>
      </c>
      <c r="DU10" s="42">
        <f t="shared" si="13"/>
        <v>0</v>
      </c>
      <c r="DV10" s="42">
        <f t="shared" si="13"/>
        <v>0</v>
      </c>
      <c r="DW10" s="42">
        <f t="shared" si="13"/>
        <v>0</v>
      </c>
      <c r="DX10" s="42">
        <f t="shared" si="13"/>
        <v>0</v>
      </c>
      <c r="DY10" s="42"/>
      <c r="DZ10" s="42">
        <f t="shared" si="14"/>
        <v>0</v>
      </c>
      <c r="EB10" s="47">
        <f t="shared" si="15"/>
        <v>5000000</v>
      </c>
      <c r="EC10" s="47">
        <f t="shared" si="16"/>
        <v>5000000</v>
      </c>
      <c r="ED10" s="47">
        <f t="shared" si="17"/>
        <v>5000000</v>
      </c>
    </row>
    <row r="11" spans="1:141" ht="51" hidden="1" customHeight="1" x14ac:dyDescent="0.3">
      <c r="A11" s="48"/>
      <c r="B11" s="52" t="s">
        <v>60</v>
      </c>
      <c r="C11" s="38" t="s">
        <v>61</v>
      </c>
      <c r="D11" s="39" t="s">
        <v>62</v>
      </c>
      <c r="E11" s="40">
        <v>510</v>
      </c>
      <c r="F11" s="41" t="s">
        <v>63</v>
      </c>
      <c r="G11" s="42">
        <f t="shared" si="0"/>
        <v>126000000</v>
      </c>
      <c r="H11" s="42"/>
      <c r="I11" s="42"/>
      <c r="J11" s="42"/>
      <c r="K11" s="42"/>
      <c r="L11" s="42"/>
      <c r="M11" s="42"/>
      <c r="N11" s="42"/>
      <c r="O11" s="42"/>
      <c r="P11" s="42">
        <v>15000000</v>
      </c>
      <c r="Q11" s="42">
        <v>15000000</v>
      </c>
      <c r="R11" s="42">
        <v>15000000</v>
      </c>
      <c r="S11" s="42"/>
      <c r="T11" s="42"/>
      <c r="U11" s="42"/>
      <c r="V11" s="42"/>
      <c r="W11" s="42"/>
      <c r="X11" s="42">
        <v>16000000</v>
      </c>
      <c r="Y11" s="42"/>
      <c r="Z11" s="42"/>
      <c r="AA11" s="42"/>
      <c r="AB11" s="42"/>
      <c r="AC11" s="42"/>
      <c r="AD11" s="42">
        <f>45000000+25000000+5000000+5000000-15000000</f>
        <v>65000000</v>
      </c>
      <c r="AE11" s="43">
        <f t="shared" si="1"/>
        <v>0.48774869047619046</v>
      </c>
      <c r="AF11" s="42">
        <f t="shared" si="2"/>
        <v>61456335</v>
      </c>
      <c r="AG11" s="42"/>
      <c r="AH11" s="42"/>
      <c r="AI11" s="42"/>
      <c r="AJ11" s="42"/>
      <c r="AK11" s="42"/>
      <c r="AL11" s="42"/>
      <c r="AM11" s="42"/>
      <c r="AN11" s="42"/>
      <c r="AO11" s="42"/>
      <c r="AP11" s="42">
        <f>+'[1]OCTUBRE 2019'!$S$3409</f>
        <v>14999964</v>
      </c>
      <c r="AQ11" s="42"/>
      <c r="AR11" s="42"/>
      <c r="AS11" s="42"/>
      <c r="AT11" s="42"/>
      <c r="AU11" s="42"/>
      <c r="AV11" s="42"/>
      <c r="AW11" s="42">
        <f>+'[4]JULIO 2019'!$Y$2274</f>
        <v>16000000</v>
      </c>
      <c r="AX11" s="42"/>
      <c r="AY11" s="42"/>
      <c r="AZ11" s="42"/>
      <c r="BA11" s="42"/>
      <c r="BB11" s="42"/>
      <c r="BC11" s="42">
        <f>+'[3]NOVIEMBRE 2019'!$AG$3818</f>
        <v>30456371</v>
      </c>
      <c r="BD11" s="43">
        <f t="shared" si="3"/>
        <v>0.51225130952380948</v>
      </c>
      <c r="BE11" s="42">
        <f t="shared" si="4"/>
        <v>64543665</v>
      </c>
      <c r="BF11" s="42">
        <f t="shared" ref="BF11:BH14" si="18">H11-AG11</f>
        <v>0</v>
      </c>
      <c r="BG11" s="42">
        <f t="shared" si="18"/>
        <v>0</v>
      </c>
      <c r="BH11" s="42">
        <f t="shared" si="18"/>
        <v>0</v>
      </c>
      <c r="BI11" s="42">
        <f t="shared" ref="BI11:BI39" si="19">+K11-AJ11</f>
        <v>0</v>
      </c>
      <c r="BJ11" s="42">
        <f t="shared" ref="BJ11:BU14" si="20">L11-AK11</f>
        <v>0</v>
      </c>
      <c r="BK11" s="42">
        <f t="shared" si="20"/>
        <v>0</v>
      </c>
      <c r="BL11" s="42">
        <f t="shared" si="20"/>
        <v>0</v>
      </c>
      <c r="BM11" s="42">
        <f t="shared" si="20"/>
        <v>0</v>
      </c>
      <c r="BN11" s="42">
        <f t="shared" si="20"/>
        <v>15000000</v>
      </c>
      <c r="BO11" s="42">
        <f t="shared" si="20"/>
        <v>36</v>
      </c>
      <c r="BP11" s="42">
        <f t="shared" si="20"/>
        <v>15000000</v>
      </c>
      <c r="BQ11" s="42">
        <f t="shared" si="20"/>
        <v>0</v>
      </c>
      <c r="BR11" s="42">
        <f t="shared" si="20"/>
        <v>0</v>
      </c>
      <c r="BS11" s="42">
        <f t="shared" si="20"/>
        <v>0</v>
      </c>
      <c r="BT11" s="42">
        <f t="shared" si="20"/>
        <v>0</v>
      </c>
      <c r="BU11" s="42">
        <f t="shared" si="20"/>
        <v>0</v>
      </c>
      <c r="BV11" s="42">
        <f t="shared" si="7"/>
        <v>0</v>
      </c>
      <c r="BW11" s="42">
        <f t="shared" si="7"/>
        <v>0</v>
      </c>
      <c r="BX11" s="42">
        <f t="shared" si="7"/>
        <v>0</v>
      </c>
      <c r="BY11" s="42">
        <f t="shared" si="7"/>
        <v>0</v>
      </c>
      <c r="BZ11" s="42">
        <f t="shared" si="7"/>
        <v>0</v>
      </c>
      <c r="CA11" s="42">
        <f t="shared" si="7"/>
        <v>0</v>
      </c>
      <c r="CB11" s="42">
        <f t="shared" si="7"/>
        <v>34543629</v>
      </c>
      <c r="CC11" s="43">
        <f t="shared" si="8"/>
        <v>0.38306014285714285</v>
      </c>
      <c r="CD11" s="42">
        <f t="shared" si="9"/>
        <v>48265578</v>
      </c>
      <c r="CE11" s="42"/>
      <c r="CF11" s="42"/>
      <c r="CG11" s="42"/>
      <c r="CH11" s="42"/>
      <c r="CI11" s="42"/>
      <c r="CJ11" s="42"/>
      <c r="CK11" s="42"/>
      <c r="CL11" s="42"/>
      <c r="CM11" s="42"/>
      <c r="CN11" s="42">
        <f>+'[1]OCTUBRE 2019'!$H$3424</f>
        <v>14999964</v>
      </c>
      <c r="CO11" s="42"/>
      <c r="CP11" s="42"/>
      <c r="CQ11" s="42"/>
      <c r="CR11" s="42"/>
      <c r="CS11" s="42"/>
      <c r="CT11" s="42"/>
      <c r="CU11" s="42">
        <f>+'[1]OCTUBRE 2019'!$H$3417</f>
        <v>7200000</v>
      </c>
      <c r="CV11" s="42"/>
      <c r="CW11" s="42"/>
      <c r="CX11" s="42"/>
      <c r="CY11" s="42"/>
      <c r="CZ11" s="42"/>
      <c r="DA11" s="42">
        <f>+'[3]NOVIEMBRE 2019'!$H$3819+'[3]NOVIEMBRE 2019'!$H$3822+'[3]NOVIEMBRE 2019'!$H$3823+'[3]NOVIEMBRE 2019'!$H$3824+'[3]NOVIEMBRE 2019'!$H$3825+'[3]NOVIEMBRE 2019'!$H$3828+'[3]NOVIEMBRE 2019'!$H$3831+'[3]NOVIEMBRE 2019'!$H$3832+'[3]NOVIEMBRE 2019'!$H$3838+'[3]NOVIEMBRE 2019'!$H$3841+'[3]NOVIEMBRE 2019'!$H$3842+'[3]NOVIEMBRE 2019'!$H$3844</f>
        <v>26065614</v>
      </c>
      <c r="DB11" s="43">
        <f t="shared" si="10"/>
        <v>0.61693985714285715</v>
      </c>
      <c r="DC11" s="42">
        <f t="shared" si="11"/>
        <v>77734422</v>
      </c>
      <c r="DD11" s="42">
        <f t="shared" si="12"/>
        <v>0</v>
      </c>
      <c r="DE11" s="42">
        <f t="shared" si="12"/>
        <v>0</v>
      </c>
      <c r="DF11" s="42">
        <f t="shared" si="12"/>
        <v>0</v>
      </c>
      <c r="DG11" s="42">
        <f t="shared" si="12"/>
        <v>0</v>
      </c>
      <c r="DH11" s="42">
        <f t="shared" si="12"/>
        <v>0</v>
      </c>
      <c r="DI11" s="42">
        <f t="shared" si="12"/>
        <v>0</v>
      </c>
      <c r="DJ11" s="42">
        <f t="shared" si="12"/>
        <v>0</v>
      </c>
      <c r="DK11" s="42">
        <f t="shared" si="12"/>
        <v>0</v>
      </c>
      <c r="DL11" s="42">
        <f t="shared" si="12"/>
        <v>15000000</v>
      </c>
      <c r="DM11" s="42">
        <f t="shared" si="12"/>
        <v>36</v>
      </c>
      <c r="DN11" s="42">
        <f t="shared" si="12"/>
        <v>15000000</v>
      </c>
      <c r="DO11" s="42">
        <f t="shared" si="12"/>
        <v>0</v>
      </c>
      <c r="DP11" s="42">
        <f t="shared" si="12"/>
        <v>0</v>
      </c>
      <c r="DQ11" s="42">
        <f t="shared" si="12"/>
        <v>0</v>
      </c>
      <c r="DR11" s="42">
        <f t="shared" si="12"/>
        <v>0</v>
      </c>
      <c r="DS11" s="42">
        <f t="shared" si="12"/>
        <v>0</v>
      </c>
      <c r="DT11" s="42">
        <f t="shared" si="13"/>
        <v>8800000</v>
      </c>
      <c r="DU11" s="42">
        <f t="shared" si="13"/>
        <v>0</v>
      </c>
      <c r="DV11" s="42">
        <f t="shared" si="13"/>
        <v>0</v>
      </c>
      <c r="DW11" s="42">
        <f t="shared" si="13"/>
        <v>0</v>
      </c>
      <c r="DX11" s="42">
        <f t="shared" si="13"/>
        <v>0</v>
      </c>
      <c r="DY11" s="42">
        <f>AC11-CZ11</f>
        <v>0</v>
      </c>
      <c r="DZ11" s="42">
        <f t="shared" si="14"/>
        <v>38934386</v>
      </c>
      <c r="EB11" s="47">
        <f t="shared" si="15"/>
        <v>126000000</v>
      </c>
      <c r="EC11" s="47">
        <f t="shared" si="16"/>
        <v>126000000</v>
      </c>
      <c r="ED11" s="47">
        <f t="shared" si="17"/>
        <v>126000000</v>
      </c>
    </row>
    <row r="12" spans="1:141" ht="21" hidden="1" customHeight="1" x14ac:dyDescent="0.3">
      <c r="A12" s="48"/>
      <c r="B12" s="52"/>
      <c r="C12" s="38" t="s">
        <v>64</v>
      </c>
      <c r="D12" s="53" t="s">
        <v>65</v>
      </c>
      <c r="E12" s="40">
        <v>510</v>
      </c>
      <c r="F12" s="41" t="s">
        <v>53</v>
      </c>
      <c r="G12" s="42">
        <f t="shared" si="0"/>
        <v>992811018</v>
      </c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>
        <v>20000000</v>
      </c>
      <c r="Y12" s="42"/>
      <c r="Z12" s="42"/>
      <c r="AA12" s="42"/>
      <c r="AB12" s="42"/>
      <c r="AC12" s="42">
        <v>972811018</v>
      </c>
      <c r="AD12" s="42"/>
      <c r="AE12" s="43">
        <f t="shared" si="1"/>
        <v>0.58553943244010209</v>
      </c>
      <c r="AF12" s="42">
        <f t="shared" si="2"/>
        <v>581330000</v>
      </c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>
        <f>+'[3]NOVIEMBRE 2019'!$AF$3852</f>
        <v>581330000</v>
      </c>
      <c r="BC12" s="42"/>
      <c r="BD12" s="43">
        <f t="shared" si="3"/>
        <v>0.41446056755989791</v>
      </c>
      <c r="BE12" s="42">
        <f t="shared" si="4"/>
        <v>411481018</v>
      </c>
      <c r="BF12" s="42">
        <f t="shared" si="18"/>
        <v>0</v>
      </c>
      <c r="BG12" s="42">
        <f t="shared" si="18"/>
        <v>0</v>
      </c>
      <c r="BH12" s="42">
        <f t="shared" si="18"/>
        <v>0</v>
      </c>
      <c r="BI12" s="42">
        <f t="shared" si="19"/>
        <v>0</v>
      </c>
      <c r="BJ12" s="42">
        <f t="shared" si="20"/>
        <v>0</v>
      </c>
      <c r="BK12" s="42">
        <f t="shared" si="20"/>
        <v>0</v>
      </c>
      <c r="BL12" s="42">
        <f t="shared" si="20"/>
        <v>0</v>
      </c>
      <c r="BM12" s="42">
        <f t="shared" si="20"/>
        <v>0</v>
      </c>
      <c r="BN12" s="42">
        <f t="shared" si="20"/>
        <v>0</v>
      </c>
      <c r="BO12" s="42">
        <f t="shared" si="20"/>
        <v>0</v>
      </c>
      <c r="BP12" s="42">
        <f t="shared" si="20"/>
        <v>0</v>
      </c>
      <c r="BQ12" s="42">
        <f t="shared" si="20"/>
        <v>0</v>
      </c>
      <c r="BR12" s="42">
        <f t="shared" si="20"/>
        <v>0</v>
      </c>
      <c r="BS12" s="42">
        <f t="shared" si="20"/>
        <v>0</v>
      </c>
      <c r="BT12" s="42">
        <f t="shared" si="20"/>
        <v>0</v>
      </c>
      <c r="BU12" s="42">
        <f t="shared" si="20"/>
        <v>0</v>
      </c>
      <c r="BV12" s="42">
        <f t="shared" si="7"/>
        <v>20000000</v>
      </c>
      <c r="BW12" s="42">
        <f t="shared" si="7"/>
        <v>0</v>
      </c>
      <c r="BX12" s="42">
        <f t="shared" si="7"/>
        <v>0</v>
      </c>
      <c r="BY12" s="42">
        <f t="shared" si="7"/>
        <v>0</v>
      </c>
      <c r="BZ12" s="42">
        <f t="shared" si="7"/>
        <v>0</v>
      </c>
      <c r="CA12" s="42">
        <f t="shared" si="7"/>
        <v>391481018</v>
      </c>
      <c r="CB12" s="42">
        <f t="shared" si="7"/>
        <v>0</v>
      </c>
      <c r="CC12" s="43">
        <f t="shared" si="8"/>
        <v>0.47042606753181704</v>
      </c>
      <c r="CD12" s="42">
        <f t="shared" si="9"/>
        <v>467044183</v>
      </c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>
        <f>+'[1]OCTUBRE 2019'!$H$3432</f>
        <v>467044183</v>
      </c>
      <c r="DA12" s="42"/>
      <c r="DB12" s="43">
        <f t="shared" si="10"/>
        <v>0.52957393246818296</v>
      </c>
      <c r="DC12" s="42">
        <f t="shared" si="11"/>
        <v>525766835</v>
      </c>
      <c r="DD12" s="42">
        <f t="shared" si="12"/>
        <v>0</v>
      </c>
      <c r="DE12" s="42">
        <f t="shared" si="12"/>
        <v>0</v>
      </c>
      <c r="DF12" s="42">
        <f t="shared" si="12"/>
        <v>0</v>
      </c>
      <c r="DG12" s="42">
        <f t="shared" si="12"/>
        <v>0</v>
      </c>
      <c r="DH12" s="42">
        <f t="shared" si="12"/>
        <v>0</v>
      </c>
      <c r="DI12" s="42">
        <f t="shared" si="12"/>
        <v>0</v>
      </c>
      <c r="DJ12" s="42">
        <f t="shared" si="12"/>
        <v>0</v>
      </c>
      <c r="DK12" s="42">
        <f t="shared" si="12"/>
        <v>0</v>
      </c>
      <c r="DL12" s="42">
        <f t="shared" si="12"/>
        <v>0</v>
      </c>
      <c r="DM12" s="42">
        <f t="shared" si="12"/>
        <v>0</v>
      </c>
      <c r="DN12" s="42">
        <f t="shared" si="12"/>
        <v>0</v>
      </c>
      <c r="DO12" s="42">
        <f t="shared" si="12"/>
        <v>0</v>
      </c>
      <c r="DP12" s="42">
        <f t="shared" si="12"/>
        <v>0</v>
      </c>
      <c r="DQ12" s="42">
        <f t="shared" si="12"/>
        <v>0</v>
      </c>
      <c r="DR12" s="42">
        <f t="shared" si="12"/>
        <v>0</v>
      </c>
      <c r="DS12" s="42">
        <f t="shared" si="12"/>
        <v>0</v>
      </c>
      <c r="DT12" s="42">
        <f t="shared" si="13"/>
        <v>20000000</v>
      </c>
      <c r="DU12" s="42">
        <f t="shared" si="13"/>
        <v>0</v>
      </c>
      <c r="DV12" s="42">
        <f t="shared" si="13"/>
        <v>0</v>
      </c>
      <c r="DW12" s="42">
        <f t="shared" si="13"/>
        <v>0</v>
      </c>
      <c r="DX12" s="42">
        <f t="shared" si="13"/>
        <v>0</v>
      </c>
      <c r="DY12" s="42">
        <f>AC12-CZ12</f>
        <v>505766835</v>
      </c>
      <c r="DZ12" s="42">
        <f t="shared" si="14"/>
        <v>0</v>
      </c>
      <c r="EB12" s="47">
        <f t="shared" si="15"/>
        <v>992811018</v>
      </c>
      <c r="EC12" s="47">
        <f t="shared" si="16"/>
        <v>992811018</v>
      </c>
      <c r="ED12" s="47">
        <f t="shared" si="17"/>
        <v>992811018</v>
      </c>
    </row>
    <row r="13" spans="1:141" ht="41.4" hidden="1" customHeight="1" x14ac:dyDescent="0.3">
      <c r="A13" s="48"/>
      <c r="B13" s="52"/>
      <c r="C13" s="38" t="s">
        <v>66</v>
      </c>
      <c r="D13" s="39" t="s">
        <v>67</v>
      </c>
      <c r="E13" s="40">
        <v>510</v>
      </c>
      <c r="F13" s="41" t="s">
        <v>53</v>
      </c>
      <c r="G13" s="42">
        <f t="shared" si="0"/>
        <v>15000000</v>
      </c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>
        <v>15000000</v>
      </c>
      <c r="Y13" s="42"/>
      <c r="Z13" s="42"/>
      <c r="AA13" s="42"/>
      <c r="AB13" s="42"/>
      <c r="AC13" s="42"/>
      <c r="AD13" s="42"/>
      <c r="AE13" s="43">
        <f t="shared" si="1"/>
        <v>1</v>
      </c>
      <c r="AF13" s="42">
        <f t="shared" si="2"/>
        <v>15000000</v>
      </c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>
        <f>+'[6]MARZO 2019'!$Y$1108</f>
        <v>15000000</v>
      </c>
      <c r="AX13" s="42"/>
      <c r="AY13" s="42"/>
      <c r="AZ13" s="42"/>
      <c r="BA13" s="42"/>
      <c r="BB13" s="42"/>
      <c r="BC13" s="42"/>
      <c r="BD13" s="43">
        <f t="shared" si="3"/>
        <v>0</v>
      </c>
      <c r="BE13" s="42">
        <f t="shared" si="4"/>
        <v>0</v>
      </c>
      <c r="BF13" s="42">
        <f t="shared" si="18"/>
        <v>0</v>
      </c>
      <c r="BG13" s="42">
        <f t="shared" si="18"/>
        <v>0</v>
      </c>
      <c r="BH13" s="42">
        <f t="shared" si="18"/>
        <v>0</v>
      </c>
      <c r="BI13" s="42">
        <f t="shared" si="19"/>
        <v>0</v>
      </c>
      <c r="BJ13" s="42">
        <f t="shared" si="20"/>
        <v>0</v>
      </c>
      <c r="BK13" s="42">
        <f t="shared" si="20"/>
        <v>0</v>
      </c>
      <c r="BL13" s="42">
        <f t="shared" si="20"/>
        <v>0</v>
      </c>
      <c r="BM13" s="42">
        <f t="shared" si="20"/>
        <v>0</v>
      </c>
      <c r="BN13" s="42">
        <f t="shared" si="20"/>
        <v>0</v>
      </c>
      <c r="BO13" s="42">
        <f t="shared" si="20"/>
        <v>0</v>
      </c>
      <c r="BP13" s="42">
        <f t="shared" si="20"/>
        <v>0</v>
      </c>
      <c r="BQ13" s="42">
        <f t="shared" si="20"/>
        <v>0</v>
      </c>
      <c r="BR13" s="42">
        <f t="shared" si="20"/>
        <v>0</v>
      </c>
      <c r="BS13" s="42">
        <f t="shared" si="20"/>
        <v>0</v>
      </c>
      <c r="BT13" s="42">
        <f t="shared" si="20"/>
        <v>0</v>
      </c>
      <c r="BU13" s="42">
        <f t="shared" si="20"/>
        <v>0</v>
      </c>
      <c r="BV13" s="42">
        <f t="shared" si="7"/>
        <v>0</v>
      </c>
      <c r="BW13" s="42">
        <f t="shared" si="7"/>
        <v>0</v>
      </c>
      <c r="BX13" s="42">
        <f t="shared" si="7"/>
        <v>0</v>
      </c>
      <c r="BY13" s="42">
        <f t="shared" si="7"/>
        <v>0</v>
      </c>
      <c r="BZ13" s="42">
        <f t="shared" si="7"/>
        <v>0</v>
      </c>
      <c r="CA13" s="42"/>
      <c r="CB13" s="42">
        <f>AD13-BC13</f>
        <v>0</v>
      </c>
      <c r="CC13" s="43">
        <f t="shared" si="8"/>
        <v>0.87111106666666671</v>
      </c>
      <c r="CD13" s="42">
        <f t="shared" si="9"/>
        <v>13066666</v>
      </c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>
        <f>+'[4]JULIO 2019'!$H$2299</f>
        <v>13066666</v>
      </c>
      <c r="CV13" s="42"/>
      <c r="CW13" s="42"/>
      <c r="CX13" s="42"/>
      <c r="CY13" s="42"/>
      <c r="CZ13" s="42"/>
      <c r="DA13" s="42"/>
      <c r="DB13" s="43">
        <f t="shared" si="10"/>
        <v>0.12888893333333329</v>
      </c>
      <c r="DC13" s="42">
        <f t="shared" si="11"/>
        <v>1933334</v>
      </c>
      <c r="DD13" s="42">
        <f t="shared" si="12"/>
        <v>0</v>
      </c>
      <c r="DE13" s="42">
        <f t="shared" si="12"/>
        <v>0</v>
      </c>
      <c r="DF13" s="42">
        <f t="shared" si="12"/>
        <v>0</v>
      </c>
      <c r="DG13" s="42">
        <f t="shared" si="12"/>
        <v>0</v>
      </c>
      <c r="DH13" s="42">
        <f t="shared" si="12"/>
        <v>0</v>
      </c>
      <c r="DI13" s="42">
        <f t="shared" si="12"/>
        <v>0</v>
      </c>
      <c r="DJ13" s="42">
        <f t="shared" si="12"/>
        <v>0</v>
      </c>
      <c r="DK13" s="42">
        <f t="shared" si="12"/>
        <v>0</v>
      </c>
      <c r="DL13" s="42">
        <f t="shared" si="12"/>
        <v>0</v>
      </c>
      <c r="DM13" s="42">
        <f t="shared" si="12"/>
        <v>0</v>
      </c>
      <c r="DN13" s="42">
        <f t="shared" si="12"/>
        <v>0</v>
      </c>
      <c r="DO13" s="42">
        <f t="shared" si="12"/>
        <v>0</v>
      </c>
      <c r="DP13" s="42">
        <f t="shared" si="12"/>
        <v>0</v>
      </c>
      <c r="DQ13" s="42">
        <f t="shared" si="12"/>
        <v>0</v>
      </c>
      <c r="DR13" s="42">
        <f t="shared" si="12"/>
        <v>0</v>
      </c>
      <c r="DS13" s="42">
        <f t="shared" si="12"/>
        <v>0</v>
      </c>
      <c r="DT13" s="42">
        <f t="shared" si="13"/>
        <v>1933334</v>
      </c>
      <c r="DU13" s="42">
        <f t="shared" si="13"/>
        <v>0</v>
      </c>
      <c r="DV13" s="42">
        <f t="shared" si="13"/>
        <v>0</v>
      </c>
      <c r="DW13" s="42">
        <f t="shared" si="13"/>
        <v>0</v>
      </c>
      <c r="DX13" s="42">
        <f t="shared" si="13"/>
        <v>0</v>
      </c>
      <c r="DY13" s="42"/>
      <c r="DZ13" s="42">
        <f t="shared" si="14"/>
        <v>0</v>
      </c>
      <c r="EB13" s="47">
        <f t="shared" si="15"/>
        <v>15000000</v>
      </c>
      <c r="EC13" s="47">
        <f t="shared" si="16"/>
        <v>15000000</v>
      </c>
      <c r="ED13" s="47">
        <f t="shared" si="17"/>
        <v>15000000</v>
      </c>
    </row>
    <row r="14" spans="1:141" ht="28.8" hidden="1" customHeight="1" x14ac:dyDescent="0.3">
      <c r="A14" s="48"/>
      <c r="B14" s="52"/>
      <c r="C14" s="38" t="s">
        <v>68</v>
      </c>
      <c r="D14" s="39" t="s">
        <v>69</v>
      </c>
      <c r="E14" s="40">
        <v>510</v>
      </c>
      <c r="F14" s="41" t="s">
        <v>53</v>
      </c>
      <c r="G14" s="42">
        <f t="shared" si="0"/>
        <v>15000000</v>
      </c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>
        <f>40000000-25000000</f>
        <v>15000000</v>
      </c>
      <c r="Y14" s="42"/>
      <c r="Z14" s="42"/>
      <c r="AA14" s="42"/>
      <c r="AB14" s="42"/>
      <c r="AC14" s="42"/>
      <c r="AD14" s="42"/>
      <c r="AE14" s="43">
        <f t="shared" si="1"/>
        <v>0</v>
      </c>
      <c r="AF14" s="42">
        <f t="shared" si="2"/>
        <v>0</v>
      </c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3">
        <f t="shared" si="3"/>
        <v>1</v>
      </c>
      <c r="BE14" s="42">
        <f t="shared" si="4"/>
        <v>15000000</v>
      </c>
      <c r="BF14" s="42">
        <f t="shared" si="18"/>
        <v>0</v>
      </c>
      <c r="BG14" s="42">
        <f t="shared" si="18"/>
        <v>0</v>
      </c>
      <c r="BH14" s="42">
        <f t="shared" si="18"/>
        <v>0</v>
      </c>
      <c r="BI14" s="42">
        <f t="shared" si="19"/>
        <v>0</v>
      </c>
      <c r="BJ14" s="42">
        <f t="shared" si="20"/>
        <v>0</v>
      </c>
      <c r="BK14" s="42">
        <f t="shared" si="20"/>
        <v>0</v>
      </c>
      <c r="BL14" s="42">
        <f t="shared" si="20"/>
        <v>0</v>
      </c>
      <c r="BM14" s="42">
        <f t="shared" si="20"/>
        <v>0</v>
      </c>
      <c r="BN14" s="42">
        <f t="shared" si="20"/>
        <v>0</v>
      </c>
      <c r="BO14" s="42">
        <f t="shared" si="20"/>
        <v>0</v>
      </c>
      <c r="BP14" s="42">
        <f t="shared" si="20"/>
        <v>0</v>
      </c>
      <c r="BQ14" s="42">
        <f t="shared" si="20"/>
        <v>0</v>
      </c>
      <c r="BR14" s="42">
        <f t="shared" si="20"/>
        <v>0</v>
      </c>
      <c r="BS14" s="42">
        <f t="shared" si="20"/>
        <v>0</v>
      </c>
      <c r="BT14" s="42">
        <f t="shared" si="20"/>
        <v>0</v>
      </c>
      <c r="BU14" s="42">
        <f t="shared" si="20"/>
        <v>0</v>
      </c>
      <c r="BV14" s="42">
        <f t="shared" si="7"/>
        <v>15000000</v>
      </c>
      <c r="BW14" s="42">
        <f t="shared" si="7"/>
        <v>0</v>
      </c>
      <c r="BX14" s="42">
        <f t="shared" si="7"/>
        <v>0</v>
      </c>
      <c r="BY14" s="42">
        <f t="shared" si="7"/>
        <v>0</v>
      </c>
      <c r="BZ14" s="42">
        <f t="shared" si="7"/>
        <v>0</v>
      </c>
      <c r="CA14" s="42"/>
      <c r="CB14" s="42">
        <f>AD14-BC14</f>
        <v>0</v>
      </c>
      <c r="CC14" s="43">
        <f t="shared" si="8"/>
        <v>0</v>
      </c>
      <c r="CD14" s="42">
        <f t="shared" si="9"/>
        <v>0</v>
      </c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3">
        <f t="shared" si="10"/>
        <v>1</v>
      </c>
      <c r="DC14" s="42">
        <f t="shared" si="11"/>
        <v>15000000</v>
      </c>
      <c r="DD14" s="42">
        <f t="shared" si="12"/>
        <v>0</v>
      </c>
      <c r="DE14" s="42">
        <f t="shared" si="12"/>
        <v>0</v>
      </c>
      <c r="DF14" s="42">
        <f t="shared" si="12"/>
        <v>0</v>
      </c>
      <c r="DG14" s="42">
        <f t="shared" si="12"/>
        <v>0</v>
      </c>
      <c r="DH14" s="42">
        <f t="shared" si="12"/>
        <v>0</v>
      </c>
      <c r="DI14" s="42">
        <f t="shared" si="12"/>
        <v>0</v>
      </c>
      <c r="DJ14" s="42">
        <f t="shared" si="12"/>
        <v>0</v>
      </c>
      <c r="DK14" s="42">
        <f t="shared" si="12"/>
        <v>0</v>
      </c>
      <c r="DL14" s="42">
        <f t="shared" si="12"/>
        <v>0</v>
      </c>
      <c r="DM14" s="42">
        <f t="shared" si="12"/>
        <v>0</v>
      </c>
      <c r="DN14" s="42">
        <f t="shared" si="12"/>
        <v>0</v>
      </c>
      <c r="DO14" s="42">
        <f t="shared" si="12"/>
        <v>0</v>
      </c>
      <c r="DP14" s="42">
        <f t="shared" si="12"/>
        <v>0</v>
      </c>
      <c r="DQ14" s="42">
        <f t="shared" si="12"/>
        <v>0</v>
      </c>
      <c r="DR14" s="42">
        <f t="shared" si="12"/>
        <v>0</v>
      </c>
      <c r="DS14" s="42">
        <f t="shared" si="12"/>
        <v>0</v>
      </c>
      <c r="DT14" s="42">
        <f t="shared" si="13"/>
        <v>15000000</v>
      </c>
      <c r="DU14" s="42">
        <f t="shared" si="13"/>
        <v>0</v>
      </c>
      <c r="DV14" s="42">
        <f t="shared" si="13"/>
        <v>0</v>
      </c>
      <c r="DW14" s="42">
        <f t="shared" si="13"/>
        <v>0</v>
      </c>
      <c r="DX14" s="42">
        <f t="shared" si="13"/>
        <v>0</v>
      </c>
      <c r="DY14" s="42"/>
      <c r="DZ14" s="42">
        <f t="shared" si="14"/>
        <v>0</v>
      </c>
      <c r="EB14" s="47">
        <f t="shared" si="15"/>
        <v>15000000</v>
      </c>
      <c r="EC14" s="47">
        <f t="shared" si="16"/>
        <v>15000000</v>
      </c>
      <c r="ED14" s="47">
        <f t="shared" si="17"/>
        <v>15000000</v>
      </c>
    </row>
    <row r="15" spans="1:141" ht="18" hidden="1" customHeight="1" x14ac:dyDescent="0.3">
      <c r="A15" s="48"/>
      <c r="B15" s="54" t="s">
        <v>70</v>
      </c>
      <c r="C15" s="55" t="s">
        <v>71</v>
      </c>
      <c r="D15" s="39" t="s">
        <v>72</v>
      </c>
      <c r="E15" s="40">
        <v>310</v>
      </c>
      <c r="F15" s="41" t="s">
        <v>53</v>
      </c>
      <c r="G15" s="42">
        <f t="shared" si="0"/>
        <v>150000000</v>
      </c>
      <c r="H15" s="42"/>
      <c r="I15" s="42"/>
      <c r="J15" s="42"/>
      <c r="K15" s="42">
        <v>150000000</v>
      </c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>
        <f t="shared" si="1"/>
        <v>1</v>
      </c>
      <c r="AF15" s="42">
        <f t="shared" si="2"/>
        <v>150000000</v>
      </c>
      <c r="AG15" s="42"/>
      <c r="AH15" s="42"/>
      <c r="AI15" s="42"/>
      <c r="AJ15" s="42">
        <f>+'[3]NOVIEMBRE 2019'!$L$694</f>
        <v>150000000</v>
      </c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3">
        <f t="shared" si="3"/>
        <v>0</v>
      </c>
      <c r="BE15" s="42">
        <f t="shared" si="4"/>
        <v>0</v>
      </c>
      <c r="BF15" s="42"/>
      <c r="BG15" s="42"/>
      <c r="BH15" s="42"/>
      <c r="BI15" s="42">
        <f t="shared" si="19"/>
        <v>0</v>
      </c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3">
        <f t="shared" si="8"/>
        <v>0.88006362000000005</v>
      </c>
      <c r="CD15" s="42">
        <f t="shared" si="9"/>
        <v>132009543</v>
      </c>
      <c r="CE15" s="42"/>
      <c r="CF15" s="42"/>
      <c r="CG15" s="42"/>
      <c r="CH15" s="42">
        <f>+'[3]NOVIEMBRE 2019'!$H$692</f>
        <v>132009543</v>
      </c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3">
        <f t="shared" si="10"/>
        <v>0.11993637999999995</v>
      </c>
      <c r="DC15" s="42">
        <f t="shared" si="11"/>
        <v>17990457</v>
      </c>
      <c r="DD15" s="42"/>
      <c r="DE15" s="42"/>
      <c r="DF15" s="42"/>
      <c r="DG15" s="42">
        <f t="shared" si="12"/>
        <v>17990457</v>
      </c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B15" s="47">
        <f t="shared" si="15"/>
        <v>150000000</v>
      </c>
      <c r="EC15" s="47">
        <f t="shared" si="16"/>
        <v>150000000</v>
      </c>
      <c r="ED15" s="47">
        <f t="shared" si="17"/>
        <v>150000000</v>
      </c>
    </row>
    <row r="16" spans="1:141" ht="43.2" hidden="1" customHeight="1" x14ac:dyDescent="0.3">
      <c r="A16" s="48"/>
      <c r="B16" s="56"/>
      <c r="C16" s="55" t="s">
        <v>73</v>
      </c>
      <c r="D16" s="50" t="s">
        <v>74</v>
      </c>
      <c r="E16" s="40">
        <v>310</v>
      </c>
      <c r="F16" s="41" t="s">
        <v>53</v>
      </c>
      <c r="G16" s="42">
        <f t="shared" si="0"/>
        <v>100000000</v>
      </c>
      <c r="H16" s="42"/>
      <c r="I16" s="42">
        <v>100000000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3">
        <f t="shared" si="1"/>
        <v>1</v>
      </c>
      <c r="AF16" s="42">
        <f t="shared" si="2"/>
        <v>100000000</v>
      </c>
      <c r="AG16" s="42"/>
      <c r="AH16" s="42">
        <f>+'[6]MARZO 2019'!$K$156</f>
        <v>100000000</v>
      </c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3">
        <f t="shared" si="3"/>
        <v>0</v>
      </c>
      <c r="BE16" s="42">
        <f t="shared" si="4"/>
        <v>0</v>
      </c>
      <c r="BF16" s="42">
        <f>H16-AG16</f>
        <v>0</v>
      </c>
      <c r="BG16" s="42">
        <f>I16-AH16</f>
        <v>0</v>
      </c>
      <c r="BH16" s="42">
        <f>J16-AI16</f>
        <v>0</v>
      </c>
      <c r="BI16" s="42">
        <f t="shared" si="19"/>
        <v>0</v>
      </c>
      <c r="BJ16" s="42">
        <f t="shared" ref="BJ16:BZ16" si="21">L16-AK16</f>
        <v>0</v>
      </c>
      <c r="BK16" s="42">
        <f t="shared" si="21"/>
        <v>0</v>
      </c>
      <c r="BL16" s="42">
        <f t="shared" si="21"/>
        <v>0</v>
      </c>
      <c r="BM16" s="42">
        <f t="shared" si="21"/>
        <v>0</v>
      </c>
      <c r="BN16" s="42">
        <f t="shared" si="21"/>
        <v>0</v>
      </c>
      <c r="BO16" s="42">
        <f t="shared" si="21"/>
        <v>0</v>
      </c>
      <c r="BP16" s="42">
        <f t="shared" si="21"/>
        <v>0</v>
      </c>
      <c r="BQ16" s="42">
        <f t="shared" si="21"/>
        <v>0</v>
      </c>
      <c r="BR16" s="42">
        <f t="shared" si="21"/>
        <v>0</v>
      </c>
      <c r="BS16" s="42">
        <f t="shared" si="21"/>
        <v>0</v>
      </c>
      <c r="BT16" s="42">
        <f t="shared" si="21"/>
        <v>0</v>
      </c>
      <c r="BU16" s="42">
        <f t="shared" si="21"/>
        <v>0</v>
      </c>
      <c r="BV16" s="42">
        <f t="shared" si="21"/>
        <v>0</v>
      </c>
      <c r="BW16" s="42">
        <f t="shared" si="21"/>
        <v>0</v>
      </c>
      <c r="BX16" s="42">
        <f t="shared" si="21"/>
        <v>0</v>
      </c>
      <c r="BY16" s="42">
        <f t="shared" si="21"/>
        <v>0</v>
      </c>
      <c r="BZ16" s="42">
        <f t="shared" si="21"/>
        <v>0</v>
      </c>
      <c r="CA16" s="42"/>
      <c r="CB16" s="42">
        <f>AD16-BC16</f>
        <v>0</v>
      </c>
      <c r="CC16" s="43">
        <f t="shared" si="8"/>
        <v>0.61713333000000004</v>
      </c>
      <c r="CD16" s="42">
        <f t="shared" si="9"/>
        <v>61713333</v>
      </c>
      <c r="CE16" s="42"/>
      <c r="CF16" s="42">
        <f>+'[3]NOVIEMBRE 2019'!$H$649</f>
        <v>61713333</v>
      </c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3">
        <f t="shared" si="10"/>
        <v>0.38286666999999996</v>
      </c>
      <c r="DC16" s="42">
        <f t="shared" si="11"/>
        <v>38286667</v>
      </c>
      <c r="DD16" s="42">
        <f>H16-CE16</f>
        <v>0</v>
      </c>
      <c r="DE16" s="42">
        <f>I16-CF16</f>
        <v>38286667</v>
      </c>
      <c r="DF16" s="42">
        <f>J16-CG16</f>
        <v>0</v>
      </c>
      <c r="DG16" s="42">
        <f t="shared" si="12"/>
        <v>0</v>
      </c>
      <c r="DH16" s="42">
        <f t="shared" si="12"/>
        <v>0</v>
      </c>
      <c r="DI16" s="42">
        <f t="shared" si="12"/>
        <v>0</v>
      </c>
      <c r="DJ16" s="42">
        <f t="shared" si="12"/>
        <v>0</v>
      </c>
      <c r="DK16" s="42">
        <f t="shared" si="12"/>
        <v>0</v>
      </c>
      <c r="DL16" s="42">
        <f t="shared" si="12"/>
        <v>0</v>
      </c>
      <c r="DM16" s="42">
        <f t="shared" si="12"/>
        <v>0</v>
      </c>
      <c r="DN16" s="42">
        <f t="shared" si="12"/>
        <v>0</v>
      </c>
      <c r="DO16" s="42">
        <f t="shared" si="12"/>
        <v>0</v>
      </c>
      <c r="DP16" s="42">
        <f t="shared" si="12"/>
        <v>0</v>
      </c>
      <c r="DQ16" s="42">
        <f t="shared" si="12"/>
        <v>0</v>
      </c>
      <c r="DR16" s="42">
        <f t="shared" si="12"/>
        <v>0</v>
      </c>
      <c r="DS16" s="42">
        <f t="shared" si="12"/>
        <v>0</v>
      </c>
      <c r="DT16" s="42">
        <f t="shared" ref="DT16:DX16" si="22">X16-CU16</f>
        <v>0</v>
      </c>
      <c r="DU16" s="42">
        <f t="shared" si="22"/>
        <v>0</v>
      </c>
      <c r="DV16" s="42">
        <f t="shared" si="22"/>
        <v>0</v>
      </c>
      <c r="DW16" s="42">
        <f t="shared" si="22"/>
        <v>0</v>
      </c>
      <c r="DX16" s="42">
        <f t="shared" si="22"/>
        <v>0</v>
      </c>
      <c r="DY16" s="42"/>
      <c r="DZ16" s="42">
        <f>AD16-DA16</f>
        <v>0</v>
      </c>
      <c r="EB16" s="47">
        <f t="shared" si="15"/>
        <v>100000000</v>
      </c>
      <c r="EC16" s="47">
        <f t="shared" si="16"/>
        <v>100000000</v>
      </c>
      <c r="ED16" s="47">
        <f t="shared" si="17"/>
        <v>100000000</v>
      </c>
    </row>
    <row r="17" spans="1:136" ht="17.399999999999999" hidden="1" customHeight="1" x14ac:dyDescent="0.3">
      <c r="A17" s="48"/>
      <c r="B17" s="56"/>
      <c r="C17" s="38" t="s">
        <v>75</v>
      </c>
      <c r="D17" s="50" t="s">
        <v>76</v>
      </c>
      <c r="E17" s="40">
        <v>310</v>
      </c>
      <c r="F17" s="41" t="s">
        <v>53</v>
      </c>
      <c r="G17" s="42">
        <f t="shared" si="0"/>
        <v>150000000</v>
      </c>
      <c r="H17" s="42"/>
      <c r="I17" s="42"/>
      <c r="J17" s="42"/>
      <c r="K17" s="42">
        <v>150000000</v>
      </c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3"/>
      <c r="AF17" s="42">
        <f t="shared" si="2"/>
        <v>150000000</v>
      </c>
      <c r="AG17" s="42"/>
      <c r="AH17" s="42"/>
      <c r="AI17" s="42"/>
      <c r="AJ17" s="42">
        <f>+'[3]NOVIEMBRE 2019'!$G$996</f>
        <v>150000000</v>
      </c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3">
        <f t="shared" si="3"/>
        <v>1</v>
      </c>
      <c r="BE17" s="42">
        <f t="shared" si="4"/>
        <v>0</v>
      </c>
      <c r="BF17" s="42"/>
      <c r="BG17" s="42"/>
      <c r="BH17" s="42"/>
      <c r="BI17" s="42">
        <f t="shared" si="19"/>
        <v>0</v>
      </c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3">
        <f t="shared" si="8"/>
        <v>0</v>
      </c>
      <c r="CD17" s="42">
        <f t="shared" si="9"/>
        <v>0</v>
      </c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3">
        <f t="shared" si="10"/>
        <v>1</v>
      </c>
      <c r="DC17" s="42">
        <f t="shared" si="11"/>
        <v>150000000</v>
      </c>
      <c r="DD17" s="42"/>
      <c r="DE17" s="42"/>
      <c r="DF17" s="42"/>
      <c r="DG17" s="42">
        <f t="shared" si="12"/>
        <v>150000000</v>
      </c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B17" s="47">
        <f t="shared" si="15"/>
        <v>150000000</v>
      </c>
      <c r="EC17" s="47">
        <f t="shared" si="16"/>
        <v>150000000</v>
      </c>
      <c r="ED17" s="47">
        <f t="shared" si="17"/>
        <v>150000000</v>
      </c>
    </row>
    <row r="18" spans="1:136" ht="16.8" hidden="1" customHeight="1" x14ac:dyDescent="0.3">
      <c r="A18" s="48"/>
      <c r="B18" s="56"/>
      <c r="C18" s="38" t="s">
        <v>77</v>
      </c>
      <c r="D18" s="39" t="s">
        <v>78</v>
      </c>
      <c r="E18" s="40">
        <v>310</v>
      </c>
      <c r="F18" s="57" t="s">
        <v>79</v>
      </c>
      <c r="G18" s="42">
        <f t="shared" si="0"/>
        <v>419000000</v>
      </c>
      <c r="H18" s="42"/>
      <c r="I18" s="42">
        <v>290000000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>
        <v>54000000</v>
      </c>
      <c r="Z18" s="42"/>
      <c r="AA18" s="42"/>
      <c r="AB18" s="42"/>
      <c r="AC18" s="42"/>
      <c r="AD18" s="42">
        <f>50000000+15000000+10000000+5000000-5000000</f>
        <v>75000000</v>
      </c>
      <c r="AE18" s="43">
        <f t="shared" ref="AE18:AE30" si="23">+AF18/G18</f>
        <v>0.85993631980906926</v>
      </c>
      <c r="AF18" s="42">
        <f t="shared" ref="AF18:AF39" si="24">SUM(AG18:BC18)</f>
        <v>360313318</v>
      </c>
      <c r="AG18" s="42"/>
      <c r="AH18" s="42">
        <f>+'[1]OCTUBRE 2019'!$K$610</f>
        <v>285345383</v>
      </c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>
        <f>+'[3]NOVIEMBRE 2019'!$AA$701</f>
        <v>20000000</v>
      </c>
      <c r="AY18" s="42"/>
      <c r="AZ18" s="42"/>
      <c r="BA18" s="42"/>
      <c r="BB18" s="42"/>
      <c r="BC18" s="42">
        <f>+'[3]NOVIEMBRE 2019'!$AG$701</f>
        <v>54967935</v>
      </c>
      <c r="BD18" s="43">
        <f t="shared" si="3"/>
        <v>0.14006368019093074</v>
      </c>
      <c r="BE18" s="42">
        <f t="shared" si="4"/>
        <v>58686682</v>
      </c>
      <c r="BF18" s="42">
        <f t="shared" ref="BF18:BH39" si="25">H18-AG18</f>
        <v>0</v>
      </c>
      <c r="BG18" s="42">
        <f t="shared" si="25"/>
        <v>4654617</v>
      </c>
      <c r="BH18" s="42">
        <f t="shared" si="25"/>
        <v>0</v>
      </c>
      <c r="BI18" s="42">
        <f t="shared" si="19"/>
        <v>0</v>
      </c>
      <c r="BJ18" s="42">
        <f t="shared" ref="BJ18:BY33" si="26">L18-AK18</f>
        <v>0</v>
      </c>
      <c r="BK18" s="42">
        <f t="shared" si="26"/>
        <v>0</v>
      </c>
      <c r="BL18" s="42">
        <f t="shared" si="26"/>
        <v>0</v>
      </c>
      <c r="BM18" s="42">
        <f t="shared" si="26"/>
        <v>0</v>
      </c>
      <c r="BN18" s="42">
        <f t="shared" si="26"/>
        <v>0</v>
      </c>
      <c r="BO18" s="42">
        <f t="shared" si="26"/>
        <v>0</v>
      </c>
      <c r="BP18" s="42">
        <f t="shared" si="26"/>
        <v>0</v>
      </c>
      <c r="BQ18" s="42">
        <f t="shared" si="26"/>
        <v>0</v>
      </c>
      <c r="BR18" s="42">
        <f t="shared" si="26"/>
        <v>0</v>
      </c>
      <c r="BS18" s="42">
        <f t="shared" si="26"/>
        <v>0</v>
      </c>
      <c r="BT18" s="42">
        <f t="shared" si="26"/>
        <v>0</v>
      </c>
      <c r="BU18" s="42">
        <f t="shared" si="26"/>
        <v>0</v>
      </c>
      <c r="BV18" s="42">
        <f t="shared" si="26"/>
        <v>0</v>
      </c>
      <c r="BW18" s="42">
        <f t="shared" si="26"/>
        <v>34000000</v>
      </c>
      <c r="BX18" s="42">
        <f t="shared" si="26"/>
        <v>0</v>
      </c>
      <c r="BY18" s="42">
        <f t="shared" si="26"/>
        <v>0</v>
      </c>
      <c r="BZ18" s="42">
        <f t="shared" ref="BZ18:BZ39" si="27">AB18-BA18</f>
        <v>0</v>
      </c>
      <c r="CA18" s="42"/>
      <c r="CB18" s="42">
        <f t="shared" ref="CB18:CB39" si="28">AD18-BC18</f>
        <v>20032065</v>
      </c>
      <c r="CC18" s="43">
        <f t="shared" si="8"/>
        <v>0.75703800238663488</v>
      </c>
      <c r="CD18" s="42">
        <f t="shared" si="9"/>
        <v>317198923</v>
      </c>
      <c r="CE18" s="42"/>
      <c r="CF18" s="42">
        <f>+'[3]NOVIEMBRE 2019'!$H$699-CV18-DA18</f>
        <v>278730988</v>
      </c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>
        <f>+'[3]NOVIEMBRE 2019'!$H$991</f>
        <v>3500000</v>
      </c>
      <c r="CW18" s="42"/>
      <c r="CX18" s="42"/>
      <c r="CY18" s="42"/>
      <c r="CZ18" s="42"/>
      <c r="DA18" s="42">
        <f>+'[3]NOVIEMBRE 2019'!$H$703+'[3]NOVIEMBRE 2019'!$H$705+'[3]NOVIEMBRE 2019'!$H$712+'[3]NOVIEMBRE 2019'!$H$715+'[3]NOVIEMBRE 2019'!$H$971+'[3]NOVIEMBRE 2019'!$H$973+'[3]NOVIEMBRE 2019'!$H$974+'[3]NOVIEMBRE 2019'!$H$976+'[3]NOVIEMBRE 2019'!$H$977+'[3]NOVIEMBRE 2019'!$H$980+'[3]NOVIEMBRE 2019'!$H$983+'[3]NOVIEMBRE 2019'!$H$984+'[3]NOVIEMBRE 2019'!$H$985+'[3]NOVIEMBRE 2019'!$H$986+'[3]NOVIEMBRE 2019'!$H$987+'[3]NOVIEMBRE 2019'!$H$988+'[3]NOVIEMBRE 2019'!$H$989+'[3]NOVIEMBRE 2019'!$H$990</f>
        <v>34967935</v>
      </c>
      <c r="DB18" s="43">
        <f t="shared" si="10"/>
        <v>0.24296199761336512</v>
      </c>
      <c r="DC18" s="42">
        <f t="shared" si="11"/>
        <v>101801077</v>
      </c>
      <c r="DD18" s="42">
        <f t="shared" ref="DD18:DS36" si="29">H18-CE18</f>
        <v>0</v>
      </c>
      <c r="DE18" s="42">
        <f t="shared" si="29"/>
        <v>11269012</v>
      </c>
      <c r="DF18" s="42">
        <f t="shared" si="29"/>
        <v>0</v>
      </c>
      <c r="DG18" s="42">
        <f t="shared" si="12"/>
        <v>0</v>
      </c>
      <c r="DH18" s="42">
        <f t="shared" si="12"/>
        <v>0</v>
      </c>
      <c r="DI18" s="42">
        <f t="shared" si="12"/>
        <v>0</v>
      </c>
      <c r="DJ18" s="42">
        <f t="shared" si="12"/>
        <v>0</v>
      </c>
      <c r="DK18" s="42">
        <f t="shared" si="12"/>
        <v>0</v>
      </c>
      <c r="DL18" s="42">
        <f t="shared" si="12"/>
        <v>0</v>
      </c>
      <c r="DM18" s="42">
        <f t="shared" si="12"/>
        <v>0</v>
      </c>
      <c r="DN18" s="42">
        <f t="shared" si="12"/>
        <v>0</v>
      </c>
      <c r="DO18" s="42">
        <f t="shared" si="12"/>
        <v>0</v>
      </c>
      <c r="DP18" s="42">
        <f t="shared" si="12"/>
        <v>0</v>
      </c>
      <c r="DQ18" s="42">
        <f t="shared" si="12"/>
        <v>0</v>
      </c>
      <c r="DR18" s="42">
        <f t="shared" si="12"/>
        <v>0</v>
      </c>
      <c r="DS18" s="42">
        <f t="shared" si="12"/>
        <v>0</v>
      </c>
      <c r="DT18" s="42">
        <f t="shared" ref="DT18:DX39" si="30">X18-CU18</f>
        <v>0</v>
      </c>
      <c r="DU18" s="42">
        <f t="shared" si="30"/>
        <v>50500000</v>
      </c>
      <c r="DV18" s="42">
        <f t="shared" si="30"/>
        <v>0</v>
      </c>
      <c r="DW18" s="42">
        <f t="shared" si="30"/>
        <v>0</v>
      </c>
      <c r="DX18" s="42">
        <f t="shared" si="30"/>
        <v>0</v>
      </c>
      <c r="DY18" s="42"/>
      <c r="DZ18" s="42">
        <f t="shared" ref="DZ18:DZ39" si="31">AD18-DA18</f>
        <v>40032065</v>
      </c>
      <c r="EB18" s="47">
        <f t="shared" si="15"/>
        <v>419000000</v>
      </c>
      <c r="EC18" s="47">
        <f t="shared" si="16"/>
        <v>419000000</v>
      </c>
      <c r="ED18" s="47">
        <f t="shared" si="17"/>
        <v>419000000</v>
      </c>
    </row>
    <row r="19" spans="1:136" ht="18.600000000000001" hidden="1" customHeight="1" x14ac:dyDescent="0.3">
      <c r="A19" s="48"/>
      <c r="B19" s="56"/>
      <c r="C19" s="38" t="s">
        <v>80</v>
      </c>
      <c r="D19" s="39" t="s">
        <v>81</v>
      </c>
      <c r="E19" s="40">
        <v>310</v>
      </c>
      <c r="F19" s="41" t="s">
        <v>53</v>
      </c>
      <c r="G19" s="42">
        <f t="shared" si="0"/>
        <v>45000000</v>
      </c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>
        <v>45000000</v>
      </c>
      <c r="Y19" s="42"/>
      <c r="Z19" s="42"/>
      <c r="AA19" s="42"/>
      <c r="AB19" s="42"/>
      <c r="AC19" s="42"/>
      <c r="AD19" s="42"/>
      <c r="AE19" s="43">
        <f t="shared" si="23"/>
        <v>0.93711111111111112</v>
      </c>
      <c r="AF19" s="42">
        <f t="shared" si="24"/>
        <v>42170000</v>
      </c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>
        <f>+'[7]MAYO 2019'!$Y$322</f>
        <v>42170000</v>
      </c>
      <c r="AX19" s="42"/>
      <c r="AY19" s="42"/>
      <c r="AZ19" s="42"/>
      <c r="BA19" s="42"/>
      <c r="BB19" s="42"/>
      <c r="BC19" s="42"/>
      <c r="BD19" s="43">
        <f t="shared" si="3"/>
        <v>6.2888888888888883E-2</v>
      </c>
      <c r="BE19" s="42">
        <f t="shared" si="4"/>
        <v>2830000</v>
      </c>
      <c r="BF19" s="42">
        <f t="shared" si="25"/>
        <v>0</v>
      </c>
      <c r="BG19" s="42">
        <f t="shared" si="25"/>
        <v>0</v>
      </c>
      <c r="BH19" s="42">
        <f t="shared" si="25"/>
        <v>0</v>
      </c>
      <c r="BI19" s="42">
        <f t="shared" si="19"/>
        <v>0</v>
      </c>
      <c r="BJ19" s="42">
        <f t="shared" si="26"/>
        <v>0</v>
      </c>
      <c r="BK19" s="42">
        <f t="shared" si="26"/>
        <v>0</v>
      </c>
      <c r="BL19" s="42">
        <f t="shared" si="26"/>
        <v>0</v>
      </c>
      <c r="BM19" s="42">
        <f t="shared" si="26"/>
        <v>0</v>
      </c>
      <c r="BN19" s="42">
        <f t="shared" si="26"/>
        <v>0</v>
      </c>
      <c r="BO19" s="42">
        <f t="shared" si="26"/>
        <v>0</v>
      </c>
      <c r="BP19" s="42">
        <f t="shared" si="26"/>
        <v>0</v>
      </c>
      <c r="BQ19" s="42">
        <f t="shared" si="26"/>
        <v>0</v>
      </c>
      <c r="BR19" s="42">
        <f t="shared" si="26"/>
        <v>0</v>
      </c>
      <c r="BS19" s="42">
        <f t="shared" si="26"/>
        <v>0</v>
      </c>
      <c r="BT19" s="42">
        <f t="shared" si="26"/>
        <v>0</v>
      </c>
      <c r="BU19" s="42">
        <f t="shared" si="26"/>
        <v>0</v>
      </c>
      <c r="BV19" s="42">
        <f t="shared" si="26"/>
        <v>2830000</v>
      </c>
      <c r="BW19" s="42">
        <f t="shared" si="26"/>
        <v>0</v>
      </c>
      <c r="BX19" s="42">
        <f t="shared" si="26"/>
        <v>0</v>
      </c>
      <c r="BY19" s="42">
        <f t="shared" si="26"/>
        <v>0</v>
      </c>
      <c r="BZ19" s="42">
        <f t="shared" si="27"/>
        <v>0</v>
      </c>
      <c r="CA19" s="42"/>
      <c r="CB19" s="42">
        <f t="shared" si="28"/>
        <v>0</v>
      </c>
      <c r="CC19" s="43">
        <f t="shared" si="8"/>
        <v>0.90322222222222226</v>
      </c>
      <c r="CD19" s="42">
        <f t="shared" si="9"/>
        <v>40645000</v>
      </c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>
        <f>+'[8]AGOSTO 2019'!$H$581</f>
        <v>40645000</v>
      </c>
      <c r="CV19" s="42"/>
      <c r="CW19" s="42"/>
      <c r="CX19" s="42"/>
      <c r="CY19" s="42"/>
      <c r="CZ19" s="42"/>
      <c r="DA19" s="42"/>
      <c r="DB19" s="43">
        <f t="shared" si="10"/>
        <v>9.677777777777774E-2</v>
      </c>
      <c r="DC19" s="42">
        <f t="shared" si="11"/>
        <v>4355000</v>
      </c>
      <c r="DD19" s="42">
        <f t="shared" si="29"/>
        <v>0</v>
      </c>
      <c r="DE19" s="42">
        <f t="shared" si="29"/>
        <v>0</v>
      </c>
      <c r="DF19" s="42">
        <f t="shared" si="29"/>
        <v>0</v>
      </c>
      <c r="DG19" s="42">
        <f t="shared" si="12"/>
        <v>0</v>
      </c>
      <c r="DH19" s="42">
        <f t="shared" si="12"/>
        <v>0</v>
      </c>
      <c r="DI19" s="42">
        <f t="shared" si="12"/>
        <v>0</v>
      </c>
      <c r="DJ19" s="42">
        <f t="shared" si="12"/>
        <v>0</v>
      </c>
      <c r="DK19" s="42">
        <f t="shared" si="12"/>
        <v>0</v>
      </c>
      <c r="DL19" s="42">
        <f t="shared" si="12"/>
        <v>0</v>
      </c>
      <c r="DM19" s="42">
        <f t="shared" si="12"/>
        <v>0</v>
      </c>
      <c r="DN19" s="42">
        <f t="shared" si="12"/>
        <v>0</v>
      </c>
      <c r="DO19" s="42">
        <f t="shared" si="12"/>
        <v>0</v>
      </c>
      <c r="DP19" s="42">
        <f t="shared" si="12"/>
        <v>0</v>
      </c>
      <c r="DQ19" s="42">
        <f t="shared" si="12"/>
        <v>0</v>
      </c>
      <c r="DR19" s="42">
        <f t="shared" si="12"/>
        <v>0</v>
      </c>
      <c r="DS19" s="42">
        <f t="shared" si="12"/>
        <v>0</v>
      </c>
      <c r="DT19" s="42">
        <f t="shared" si="30"/>
        <v>4355000</v>
      </c>
      <c r="DU19" s="42">
        <f t="shared" si="30"/>
        <v>0</v>
      </c>
      <c r="DV19" s="42">
        <f t="shared" si="30"/>
        <v>0</v>
      </c>
      <c r="DW19" s="42">
        <f t="shared" si="30"/>
        <v>0</v>
      </c>
      <c r="DX19" s="42">
        <f t="shared" si="30"/>
        <v>0</v>
      </c>
      <c r="DY19" s="42"/>
      <c r="DZ19" s="42">
        <f t="shared" si="31"/>
        <v>0</v>
      </c>
      <c r="EB19" s="47">
        <f t="shared" si="15"/>
        <v>45000000</v>
      </c>
      <c r="EC19" s="47">
        <f t="shared" si="16"/>
        <v>45000000</v>
      </c>
      <c r="ED19" s="47">
        <f t="shared" si="17"/>
        <v>45000000</v>
      </c>
    </row>
    <row r="20" spans="1:136" ht="20.399999999999999" hidden="1" customHeight="1" x14ac:dyDescent="0.3">
      <c r="A20" s="48"/>
      <c r="B20" s="56"/>
      <c r="C20" s="38" t="s">
        <v>82</v>
      </c>
      <c r="D20" s="39" t="s">
        <v>83</v>
      </c>
      <c r="E20" s="40">
        <v>310</v>
      </c>
      <c r="F20" s="41" t="s">
        <v>53</v>
      </c>
      <c r="G20" s="42">
        <f t="shared" si="0"/>
        <v>4000000</v>
      </c>
      <c r="H20" s="58"/>
      <c r="I20" s="42"/>
      <c r="J20" s="42"/>
      <c r="K20" s="42"/>
      <c r="L20" s="42"/>
      <c r="M20" s="58"/>
      <c r="N20" s="42"/>
      <c r="O20" s="42"/>
      <c r="P20" s="58"/>
      <c r="Q20" s="58"/>
      <c r="R20" s="58"/>
      <c r="S20" s="58"/>
      <c r="T20" s="58"/>
      <c r="U20" s="58"/>
      <c r="V20" s="58"/>
      <c r="W20" s="58"/>
      <c r="X20" s="42">
        <v>4000000</v>
      </c>
      <c r="Y20" s="42"/>
      <c r="Z20" s="58"/>
      <c r="AA20" s="58"/>
      <c r="AB20" s="58"/>
      <c r="AC20" s="58"/>
      <c r="AD20" s="42"/>
      <c r="AE20" s="43">
        <f t="shared" si="23"/>
        <v>0</v>
      </c>
      <c r="AF20" s="42">
        <f t="shared" si="24"/>
        <v>0</v>
      </c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3">
        <f t="shared" si="3"/>
        <v>1</v>
      </c>
      <c r="BE20" s="42">
        <f t="shared" si="4"/>
        <v>4000000</v>
      </c>
      <c r="BF20" s="42">
        <f t="shared" si="25"/>
        <v>0</v>
      </c>
      <c r="BG20" s="42">
        <f t="shared" si="25"/>
        <v>0</v>
      </c>
      <c r="BH20" s="42">
        <f t="shared" si="25"/>
        <v>0</v>
      </c>
      <c r="BI20" s="42">
        <f t="shared" si="19"/>
        <v>0</v>
      </c>
      <c r="BJ20" s="42">
        <f t="shared" si="26"/>
        <v>0</v>
      </c>
      <c r="BK20" s="42">
        <f t="shared" si="26"/>
        <v>0</v>
      </c>
      <c r="BL20" s="42">
        <f t="shared" si="26"/>
        <v>0</v>
      </c>
      <c r="BM20" s="42">
        <f t="shared" si="26"/>
        <v>0</v>
      </c>
      <c r="BN20" s="42">
        <f t="shared" si="26"/>
        <v>0</v>
      </c>
      <c r="BO20" s="42">
        <f t="shared" si="26"/>
        <v>0</v>
      </c>
      <c r="BP20" s="42">
        <f t="shared" si="26"/>
        <v>0</v>
      </c>
      <c r="BQ20" s="42">
        <f t="shared" si="26"/>
        <v>0</v>
      </c>
      <c r="BR20" s="42">
        <f t="shared" si="26"/>
        <v>0</v>
      </c>
      <c r="BS20" s="42">
        <f t="shared" si="26"/>
        <v>0</v>
      </c>
      <c r="BT20" s="42">
        <f t="shared" si="26"/>
        <v>0</v>
      </c>
      <c r="BU20" s="42">
        <f t="shared" si="26"/>
        <v>0</v>
      </c>
      <c r="BV20" s="42">
        <f t="shared" si="26"/>
        <v>4000000</v>
      </c>
      <c r="BW20" s="42">
        <f t="shared" si="26"/>
        <v>0</v>
      </c>
      <c r="BX20" s="42">
        <f t="shared" si="26"/>
        <v>0</v>
      </c>
      <c r="BY20" s="42">
        <f t="shared" si="26"/>
        <v>0</v>
      </c>
      <c r="BZ20" s="42">
        <f t="shared" si="27"/>
        <v>0</v>
      </c>
      <c r="CA20" s="42"/>
      <c r="CB20" s="42">
        <f t="shared" si="28"/>
        <v>0</v>
      </c>
      <c r="CC20" s="43">
        <f t="shared" si="8"/>
        <v>0</v>
      </c>
      <c r="CD20" s="42">
        <f t="shared" si="9"/>
        <v>0</v>
      </c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3">
        <f t="shared" si="10"/>
        <v>1</v>
      </c>
      <c r="DC20" s="42">
        <f t="shared" si="11"/>
        <v>4000000</v>
      </c>
      <c r="DD20" s="42">
        <f t="shared" si="29"/>
        <v>0</v>
      </c>
      <c r="DE20" s="42">
        <f t="shared" si="29"/>
        <v>0</v>
      </c>
      <c r="DF20" s="42">
        <f t="shared" si="29"/>
        <v>0</v>
      </c>
      <c r="DG20" s="42">
        <f t="shared" si="12"/>
        <v>0</v>
      </c>
      <c r="DH20" s="42">
        <f t="shared" si="12"/>
        <v>0</v>
      </c>
      <c r="DI20" s="42">
        <f t="shared" si="12"/>
        <v>0</v>
      </c>
      <c r="DJ20" s="42">
        <f t="shared" si="12"/>
        <v>0</v>
      </c>
      <c r="DK20" s="42">
        <f t="shared" si="12"/>
        <v>0</v>
      </c>
      <c r="DL20" s="42">
        <f t="shared" si="12"/>
        <v>0</v>
      </c>
      <c r="DM20" s="42">
        <f t="shared" si="12"/>
        <v>0</v>
      </c>
      <c r="DN20" s="42">
        <f t="shared" si="12"/>
        <v>0</v>
      </c>
      <c r="DO20" s="42">
        <f t="shared" si="12"/>
        <v>0</v>
      </c>
      <c r="DP20" s="42">
        <f t="shared" si="12"/>
        <v>0</v>
      </c>
      <c r="DQ20" s="42">
        <f t="shared" si="12"/>
        <v>0</v>
      </c>
      <c r="DR20" s="42">
        <f t="shared" si="12"/>
        <v>0</v>
      </c>
      <c r="DS20" s="42">
        <f t="shared" si="12"/>
        <v>0</v>
      </c>
      <c r="DT20" s="42">
        <f t="shared" si="30"/>
        <v>4000000</v>
      </c>
      <c r="DU20" s="42">
        <f t="shared" si="30"/>
        <v>0</v>
      </c>
      <c r="DV20" s="42">
        <f t="shared" si="30"/>
        <v>0</v>
      </c>
      <c r="DW20" s="42">
        <f t="shared" si="30"/>
        <v>0</v>
      </c>
      <c r="DX20" s="42">
        <f t="shared" si="30"/>
        <v>0</v>
      </c>
      <c r="DY20" s="42"/>
      <c r="DZ20" s="42">
        <f t="shared" si="31"/>
        <v>0</v>
      </c>
      <c r="EB20" s="47">
        <f t="shared" si="15"/>
        <v>4000000</v>
      </c>
      <c r="EC20" s="47">
        <f t="shared" si="16"/>
        <v>4000000</v>
      </c>
      <c r="ED20" s="47">
        <f t="shared" si="17"/>
        <v>4000000</v>
      </c>
    </row>
    <row r="21" spans="1:136" ht="28.8" hidden="1" customHeight="1" x14ac:dyDescent="0.3">
      <c r="A21" s="48"/>
      <c r="B21" s="59"/>
      <c r="C21" s="38" t="s">
        <v>84</v>
      </c>
      <c r="D21" s="50" t="s">
        <v>85</v>
      </c>
      <c r="E21" s="40">
        <v>310</v>
      </c>
      <c r="F21" s="60" t="s">
        <v>86</v>
      </c>
      <c r="G21" s="42">
        <f t="shared" si="0"/>
        <v>42000000</v>
      </c>
      <c r="H21" s="58"/>
      <c r="I21" s="42"/>
      <c r="J21" s="42"/>
      <c r="K21" s="42"/>
      <c r="L21" s="42"/>
      <c r="M21" s="58"/>
      <c r="N21" s="42"/>
      <c r="O21" s="42"/>
      <c r="P21" s="58"/>
      <c r="Q21" s="58"/>
      <c r="R21" s="58"/>
      <c r="S21" s="58"/>
      <c r="T21" s="58"/>
      <c r="U21" s="58"/>
      <c r="V21" s="58"/>
      <c r="W21" s="58"/>
      <c r="X21" s="42">
        <v>27000000</v>
      </c>
      <c r="Y21" s="42"/>
      <c r="Z21" s="58"/>
      <c r="AA21" s="58"/>
      <c r="AB21" s="58"/>
      <c r="AC21" s="58"/>
      <c r="AD21" s="42">
        <v>15000000</v>
      </c>
      <c r="AE21" s="43">
        <f t="shared" si="23"/>
        <v>0.8571428571428571</v>
      </c>
      <c r="AF21" s="42">
        <f t="shared" si="24"/>
        <v>36000000</v>
      </c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>
        <f>+'[9]FEBRERO 2019'!$Y$159</f>
        <v>27000000</v>
      </c>
      <c r="AX21" s="42"/>
      <c r="AY21" s="42"/>
      <c r="AZ21" s="42"/>
      <c r="BA21" s="42"/>
      <c r="BB21" s="42"/>
      <c r="BC21" s="42">
        <f>+'[10]ENERO 2019'!$AF$154</f>
        <v>9000000</v>
      </c>
      <c r="BD21" s="43">
        <f t="shared" si="3"/>
        <v>0.1428571428571429</v>
      </c>
      <c r="BE21" s="42">
        <f t="shared" si="4"/>
        <v>6000000</v>
      </c>
      <c r="BF21" s="42">
        <f t="shared" si="25"/>
        <v>0</v>
      </c>
      <c r="BG21" s="42">
        <f t="shared" si="25"/>
        <v>0</v>
      </c>
      <c r="BH21" s="42">
        <f t="shared" si="25"/>
        <v>0</v>
      </c>
      <c r="BI21" s="42">
        <f t="shared" si="19"/>
        <v>0</v>
      </c>
      <c r="BJ21" s="42">
        <f t="shared" si="26"/>
        <v>0</v>
      </c>
      <c r="BK21" s="42">
        <f t="shared" si="26"/>
        <v>0</v>
      </c>
      <c r="BL21" s="42">
        <f t="shared" si="26"/>
        <v>0</v>
      </c>
      <c r="BM21" s="42">
        <f t="shared" si="26"/>
        <v>0</v>
      </c>
      <c r="BN21" s="42">
        <f t="shared" si="26"/>
        <v>0</v>
      </c>
      <c r="BO21" s="42">
        <f t="shared" si="26"/>
        <v>0</v>
      </c>
      <c r="BP21" s="42">
        <f t="shared" si="26"/>
        <v>0</v>
      </c>
      <c r="BQ21" s="42">
        <f t="shared" si="26"/>
        <v>0</v>
      </c>
      <c r="BR21" s="42">
        <f t="shared" si="26"/>
        <v>0</v>
      </c>
      <c r="BS21" s="42">
        <f t="shared" si="26"/>
        <v>0</v>
      </c>
      <c r="BT21" s="42">
        <f t="shared" si="26"/>
        <v>0</v>
      </c>
      <c r="BU21" s="42">
        <f t="shared" si="26"/>
        <v>0</v>
      </c>
      <c r="BV21" s="42">
        <f t="shared" si="26"/>
        <v>0</v>
      </c>
      <c r="BW21" s="42">
        <f t="shared" si="26"/>
        <v>0</v>
      </c>
      <c r="BX21" s="42">
        <f t="shared" si="26"/>
        <v>0</v>
      </c>
      <c r="BY21" s="42">
        <f t="shared" si="26"/>
        <v>0</v>
      </c>
      <c r="BZ21" s="42">
        <f t="shared" si="27"/>
        <v>0</v>
      </c>
      <c r="CA21" s="42"/>
      <c r="CB21" s="42">
        <f t="shared" si="28"/>
        <v>6000000</v>
      </c>
      <c r="CC21" s="43">
        <f t="shared" si="8"/>
        <v>0.27713773809523812</v>
      </c>
      <c r="CD21" s="42">
        <f t="shared" si="9"/>
        <v>11639785</v>
      </c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>
        <f>+'[3]NOVIEMBRE 2019'!$H$1051</f>
        <v>11639785</v>
      </c>
      <c r="CV21" s="42"/>
      <c r="CW21" s="42"/>
      <c r="CX21" s="42"/>
      <c r="CY21" s="42"/>
      <c r="CZ21" s="42"/>
      <c r="DA21" s="42"/>
      <c r="DB21" s="43">
        <f t="shared" si="10"/>
        <v>0.72286226190476188</v>
      </c>
      <c r="DC21" s="42">
        <f t="shared" si="11"/>
        <v>30360215</v>
      </c>
      <c r="DD21" s="42">
        <f t="shared" si="29"/>
        <v>0</v>
      </c>
      <c r="DE21" s="42">
        <f t="shared" si="29"/>
        <v>0</v>
      </c>
      <c r="DF21" s="42">
        <f t="shared" si="29"/>
        <v>0</v>
      </c>
      <c r="DG21" s="42">
        <f t="shared" si="29"/>
        <v>0</v>
      </c>
      <c r="DH21" s="42">
        <f t="shared" si="29"/>
        <v>0</v>
      </c>
      <c r="DI21" s="42">
        <f t="shared" si="29"/>
        <v>0</v>
      </c>
      <c r="DJ21" s="42">
        <f t="shared" si="29"/>
        <v>0</v>
      </c>
      <c r="DK21" s="42">
        <f t="shared" si="29"/>
        <v>0</v>
      </c>
      <c r="DL21" s="42">
        <f t="shared" si="29"/>
        <v>0</v>
      </c>
      <c r="DM21" s="42">
        <f t="shared" si="29"/>
        <v>0</v>
      </c>
      <c r="DN21" s="42">
        <f t="shared" si="29"/>
        <v>0</v>
      </c>
      <c r="DO21" s="42">
        <f t="shared" si="29"/>
        <v>0</v>
      </c>
      <c r="DP21" s="42">
        <f t="shared" si="29"/>
        <v>0</v>
      </c>
      <c r="DQ21" s="42">
        <f t="shared" si="29"/>
        <v>0</v>
      </c>
      <c r="DR21" s="42">
        <f t="shared" si="29"/>
        <v>0</v>
      </c>
      <c r="DS21" s="42">
        <f t="shared" si="29"/>
        <v>0</v>
      </c>
      <c r="DT21" s="42">
        <f t="shared" si="30"/>
        <v>15360215</v>
      </c>
      <c r="DU21" s="42">
        <f t="shared" si="30"/>
        <v>0</v>
      </c>
      <c r="DV21" s="42">
        <f t="shared" si="30"/>
        <v>0</v>
      </c>
      <c r="DW21" s="42">
        <f t="shared" si="30"/>
        <v>0</v>
      </c>
      <c r="DX21" s="42">
        <f t="shared" si="30"/>
        <v>0</v>
      </c>
      <c r="DY21" s="42"/>
      <c r="DZ21" s="42">
        <f t="shared" si="31"/>
        <v>15000000</v>
      </c>
      <c r="EB21" s="47">
        <f t="shared" si="15"/>
        <v>42000000</v>
      </c>
      <c r="EC21" s="47">
        <f t="shared" si="16"/>
        <v>42000000</v>
      </c>
      <c r="ED21" s="47">
        <f t="shared" si="17"/>
        <v>42000000</v>
      </c>
    </row>
    <row r="22" spans="1:136" ht="28.8" hidden="1" customHeight="1" x14ac:dyDescent="0.3">
      <c r="A22" s="48"/>
      <c r="B22" s="61" t="s">
        <v>87</v>
      </c>
      <c r="C22" s="55" t="s">
        <v>88</v>
      </c>
      <c r="D22" s="39" t="s">
        <v>89</v>
      </c>
      <c r="E22" s="40">
        <v>510</v>
      </c>
      <c r="F22" s="41" t="s">
        <v>53</v>
      </c>
      <c r="G22" s="42">
        <f t="shared" si="0"/>
        <v>100644090</v>
      </c>
      <c r="H22" s="42"/>
      <c r="I22" s="42">
        <v>80000000</v>
      </c>
      <c r="J22" s="42">
        <v>20644090</v>
      </c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3">
        <f t="shared" si="23"/>
        <v>1</v>
      </c>
      <c r="AF22" s="42">
        <f t="shared" si="24"/>
        <v>100644090</v>
      </c>
      <c r="AG22" s="42"/>
      <c r="AH22" s="42">
        <f>+'[8]AGOSTO 2019'!$K$2629</f>
        <v>80000000</v>
      </c>
      <c r="AI22" s="42">
        <f>+'[3]NOVIEMBRE 2019'!$N$3892</f>
        <v>20644090</v>
      </c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3">
        <f t="shared" si="3"/>
        <v>0</v>
      </c>
      <c r="BE22" s="42">
        <f t="shared" si="4"/>
        <v>0</v>
      </c>
      <c r="BF22" s="42">
        <f t="shared" si="25"/>
        <v>0</v>
      </c>
      <c r="BG22" s="42">
        <f t="shared" si="25"/>
        <v>0</v>
      </c>
      <c r="BH22" s="42">
        <f t="shared" si="25"/>
        <v>0</v>
      </c>
      <c r="BI22" s="42">
        <f t="shared" si="19"/>
        <v>0</v>
      </c>
      <c r="BJ22" s="42">
        <f t="shared" si="26"/>
        <v>0</v>
      </c>
      <c r="BK22" s="42">
        <f t="shared" si="26"/>
        <v>0</v>
      </c>
      <c r="BL22" s="42">
        <f t="shared" si="26"/>
        <v>0</v>
      </c>
      <c r="BM22" s="42">
        <f t="shared" si="26"/>
        <v>0</v>
      </c>
      <c r="BN22" s="42">
        <f t="shared" si="26"/>
        <v>0</v>
      </c>
      <c r="BO22" s="42">
        <f t="shared" si="26"/>
        <v>0</v>
      </c>
      <c r="BP22" s="42">
        <f t="shared" si="26"/>
        <v>0</v>
      </c>
      <c r="BQ22" s="42">
        <f t="shared" si="26"/>
        <v>0</v>
      </c>
      <c r="BR22" s="42">
        <f t="shared" si="26"/>
        <v>0</v>
      </c>
      <c r="BS22" s="42">
        <f t="shared" si="26"/>
        <v>0</v>
      </c>
      <c r="BT22" s="42">
        <f t="shared" si="26"/>
        <v>0</v>
      </c>
      <c r="BU22" s="42">
        <f t="shared" si="26"/>
        <v>0</v>
      </c>
      <c r="BV22" s="42">
        <f t="shared" si="26"/>
        <v>0</v>
      </c>
      <c r="BW22" s="42">
        <f t="shared" si="26"/>
        <v>0</v>
      </c>
      <c r="BX22" s="42">
        <f t="shared" si="26"/>
        <v>0</v>
      </c>
      <c r="BY22" s="42">
        <f t="shared" si="26"/>
        <v>0</v>
      </c>
      <c r="BZ22" s="42">
        <f t="shared" si="27"/>
        <v>0</v>
      </c>
      <c r="CA22" s="42"/>
      <c r="CB22" s="42">
        <f t="shared" si="28"/>
        <v>0</v>
      </c>
      <c r="CC22" s="43">
        <f t="shared" si="8"/>
        <v>0.82428456554180185</v>
      </c>
      <c r="CD22" s="42">
        <f t="shared" si="9"/>
        <v>82959370</v>
      </c>
      <c r="CE22" s="42"/>
      <c r="CF22" s="42">
        <f>+'[3]NOVIEMBRE 2019'!$H$3893+'[3]NOVIEMBRE 2019'!$H$3901+'[3]NOVIEMBRE 2019'!$H$3904+'[3]NOVIEMBRE 2019'!$H$3906+'[3]NOVIEMBRE 2019'!$H$3912+'[3]NOVIEMBRE 2019'!$H$3941</f>
        <v>80000000</v>
      </c>
      <c r="CG22" s="42">
        <f>+'[8]AGOSTO 2019'!$H$2673</f>
        <v>2959370</v>
      </c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3">
        <f t="shared" si="10"/>
        <v>0.17571543445819815</v>
      </c>
      <c r="DC22" s="42">
        <f t="shared" si="11"/>
        <v>17684720</v>
      </c>
      <c r="DD22" s="42">
        <f t="shared" si="29"/>
        <v>0</v>
      </c>
      <c r="DE22" s="42">
        <f t="shared" si="29"/>
        <v>0</v>
      </c>
      <c r="DF22" s="42">
        <f t="shared" si="29"/>
        <v>17684720</v>
      </c>
      <c r="DG22" s="42">
        <f t="shared" si="29"/>
        <v>0</v>
      </c>
      <c r="DH22" s="42">
        <f t="shared" si="29"/>
        <v>0</v>
      </c>
      <c r="DI22" s="42">
        <f t="shared" si="29"/>
        <v>0</v>
      </c>
      <c r="DJ22" s="42">
        <f t="shared" si="29"/>
        <v>0</v>
      </c>
      <c r="DK22" s="42">
        <f t="shared" si="29"/>
        <v>0</v>
      </c>
      <c r="DL22" s="42">
        <f t="shared" si="29"/>
        <v>0</v>
      </c>
      <c r="DM22" s="42">
        <f t="shared" si="29"/>
        <v>0</v>
      </c>
      <c r="DN22" s="42">
        <f t="shared" si="29"/>
        <v>0</v>
      </c>
      <c r="DO22" s="42">
        <f t="shared" si="29"/>
        <v>0</v>
      </c>
      <c r="DP22" s="42">
        <f t="shared" si="29"/>
        <v>0</v>
      </c>
      <c r="DQ22" s="42">
        <f t="shared" si="29"/>
        <v>0</v>
      </c>
      <c r="DR22" s="42">
        <f t="shared" si="29"/>
        <v>0</v>
      </c>
      <c r="DS22" s="42">
        <f t="shared" si="29"/>
        <v>0</v>
      </c>
      <c r="DT22" s="42">
        <f t="shared" si="30"/>
        <v>0</v>
      </c>
      <c r="DU22" s="42">
        <f t="shared" si="30"/>
        <v>0</v>
      </c>
      <c r="DV22" s="42">
        <f t="shared" si="30"/>
        <v>0</v>
      </c>
      <c r="DW22" s="42">
        <f t="shared" si="30"/>
        <v>0</v>
      </c>
      <c r="DX22" s="42">
        <f t="shared" si="30"/>
        <v>0</v>
      </c>
      <c r="DY22" s="42"/>
      <c r="DZ22" s="42">
        <f t="shared" si="31"/>
        <v>0</v>
      </c>
      <c r="EB22" s="47">
        <f t="shared" si="15"/>
        <v>100644090</v>
      </c>
      <c r="EC22" s="47">
        <f t="shared" si="16"/>
        <v>100644090</v>
      </c>
      <c r="ED22" s="47">
        <f t="shared" si="17"/>
        <v>100644090</v>
      </c>
    </row>
    <row r="23" spans="1:136" ht="29.4" hidden="1" customHeight="1" x14ac:dyDescent="0.3">
      <c r="A23" s="48"/>
      <c r="B23" s="62"/>
      <c r="C23" s="38" t="s">
        <v>90</v>
      </c>
      <c r="D23" s="39" t="s">
        <v>91</v>
      </c>
      <c r="E23" s="40">
        <v>510</v>
      </c>
      <c r="F23" s="41" t="s">
        <v>53</v>
      </c>
      <c r="G23" s="42">
        <f t="shared" si="0"/>
        <v>100000000</v>
      </c>
      <c r="H23" s="42"/>
      <c r="I23" s="42">
        <v>80000000</v>
      </c>
      <c r="J23" s="42">
        <v>20000000</v>
      </c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3">
        <f t="shared" si="23"/>
        <v>1</v>
      </c>
      <c r="AF23" s="42">
        <f t="shared" si="24"/>
        <v>100000000</v>
      </c>
      <c r="AG23" s="42"/>
      <c r="AH23" s="42">
        <f>+'[9]FEBRERO 2019'!$K$965</f>
        <v>80000000</v>
      </c>
      <c r="AI23" s="42">
        <f>+'[1]OCTUBRE 2019'!$N$3530</f>
        <v>20000000</v>
      </c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3">
        <f t="shared" si="3"/>
        <v>0</v>
      </c>
      <c r="BE23" s="42">
        <f t="shared" si="4"/>
        <v>0</v>
      </c>
      <c r="BF23" s="42">
        <f t="shared" si="25"/>
        <v>0</v>
      </c>
      <c r="BG23" s="42">
        <f t="shared" si="25"/>
        <v>0</v>
      </c>
      <c r="BH23" s="42">
        <f t="shared" si="25"/>
        <v>0</v>
      </c>
      <c r="BI23" s="42">
        <f t="shared" si="19"/>
        <v>0</v>
      </c>
      <c r="BJ23" s="42">
        <f t="shared" si="26"/>
        <v>0</v>
      </c>
      <c r="BK23" s="42">
        <f t="shared" si="26"/>
        <v>0</v>
      </c>
      <c r="BL23" s="42">
        <f t="shared" si="26"/>
        <v>0</v>
      </c>
      <c r="BM23" s="42">
        <f t="shared" si="26"/>
        <v>0</v>
      </c>
      <c r="BN23" s="42">
        <f t="shared" si="26"/>
        <v>0</v>
      </c>
      <c r="BO23" s="42">
        <f t="shared" si="26"/>
        <v>0</v>
      </c>
      <c r="BP23" s="42">
        <f t="shared" si="26"/>
        <v>0</v>
      </c>
      <c r="BQ23" s="42">
        <f t="shared" si="26"/>
        <v>0</v>
      </c>
      <c r="BR23" s="42">
        <f t="shared" si="26"/>
        <v>0</v>
      </c>
      <c r="BS23" s="42">
        <f t="shared" si="26"/>
        <v>0</v>
      </c>
      <c r="BT23" s="42">
        <f t="shared" si="26"/>
        <v>0</v>
      </c>
      <c r="BU23" s="42">
        <f t="shared" si="26"/>
        <v>0</v>
      </c>
      <c r="BV23" s="42">
        <f t="shared" si="26"/>
        <v>0</v>
      </c>
      <c r="BW23" s="42">
        <f t="shared" si="26"/>
        <v>0</v>
      </c>
      <c r="BX23" s="42">
        <f t="shared" si="26"/>
        <v>0</v>
      </c>
      <c r="BY23" s="42">
        <f t="shared" si="26"/>
        <v>0</v>
      </c>
      <c r="BZ23" s="42">
        <f t="shared" si="27"/>
        <v>0</v>
      </c>
      <c r="CA23" s="42"/>
      <c r="CB23" s="42">
        <f t="shared" si="28"/>
        <v>0</v>
      </c>
      <c r="CC23" s="43">
        <f t="shared" si="8"/>
        <v>0.89449999999999996</v>
      </c>
      <c r="CD23" s="42">
        <f t="shared" si="9"/>
        <v>89450000</v>
      </c>
      <c r="CE23" s="42"/>
      <c r="CF23" s="42">
        <f>+'[3]NOVIEMBRE 2019'!$H$3948+'[3]NOVIEMBRE 2019'!$H$3955+'[3]NOVIEMBRE 2019'!$H$3972+'[3]NOVIEMBRE 2019'!$H$3975+'[3]NOVIEMBRE 2019'!$H$3978+'[3]NOVIEMBRE 2019'!$H$3981</f>
        <v>80000000</v>
      </c>
      <c r="CG23" s="42">
        <f>+'[1]OCTUBRE 2019'!$H$3565</f>
        <v>9450000</v>
      </c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3">
        <f t="shared" si="10"/>
        <v>0.10550000000000004</v>
      </c>
      <c r="DC23" s="42">
        <f t="shared" si="11"/>
        <v>10550000</v>
      </c>
      <c r="DD23" s="42">
        <f t="shared" si="29"/>
        <v>0</v>
      </c>
      <c r="DE23" s="42">
        <f t="shared" si="29"/>
        <v>0</v>
      </c>
      <c r="DF23" s="42">
        <f t="shared" si="29"/>
        <v>10550000</v>
      </c>
      <c r="DG23" s="42">
        <f t="shared" si="29"/>
        <v>0</v>
      </c>
      <c r="DH23" s="42">
        <f t="shared" si="29"/>
        <v>0</v>
      </c>
      <c r="DI23" s="42">
        <f t="shared" si="29"/>
        <v>0</v>
      </c>
      <c r="DJ23" s="42">
        <f t="shared" si="29"/>
        <v>0</v>
      </c>
      <c r="DK23" s="42">
        <f t="shared" si="29"/>
        <v>0</v>
      </c>
      <c r="DL23" s="42">
        <f t="shared" si="29"/>
        <v>0</v>
      </c>
      <c r="DM23" s="42">
        <f t="shared" si="29"/>
        <v>0</v>
      </c>
      <c r="DN23" s="42">
        <f t="shared" si="29"/>
        <v>0</v>
      </c>
      <c r="DO23" s="42">
        <f t="shared" si="29"/>
        <v>0</v>
      </c>
      <c r="DP23" s="42">
        <f t="shared" si="29"/>
        <v>0</v>
      </c>
      <c r="DQ23" s="42">
        <f t="shared" si="29"/>
        <v>0</v>
      </c>
      <c r="DR23" s="42">
        <f t="shared" si="29"/>
        <v>0</v>
      </c>
      <c r="DS23" s="42">
        <f t="shared" si="29"/>
        <v>0</v>
      </c>
      <c r="DT23" s="42">
        <f t="shared" si="30"/>
        <v>0</v>
      </c>
      <c r="DU23" s="42">
        <f t="shared" si="30"/>
        <v>0</v>
      </c>
      <c r="DV23" s="42">
        <f t="shared" si="30"/>
        <v>0</v>
      </c>
      <c r="DW23" s="42">
        <f t="shared" si="30"/>
        <v>0</v>
      </c>
      <c r="DX23" s="42">
        <f t="shared" si="30"/>
        <v>0</v>
      </c>
      <c r="DY23" s="42"/>
      <c r="DZ23" s="42">
        <f t="shared" si="31"/>
        <v>0</v>
      </c>
      <c r="EB23" s="47">
        <f t="shared" si="15"/>
        <v>100000000</v>
      </c>
      <c r="EC23" s="47">
        <f t="shared" si="16"/>
        <v>100000000</v>
      </c>
      <c r="ED23" s="47">
        <f t="shared" si="17"/>
        <v>100000000</v>
      </c>
    </row>
    <row r="24" spans="1:136" ht="42" hidden="1" customHeight="1" x14ac:dyDescent="0.3">
      <c r="A24" s="48"/>
      <c r="B24" s="62"/>
      <c r="C24" s="38" t="s">
        <v>92</v>
      </c>
      <c r="D24" s="39" t="s">
        <v>93</v>
      </c>
      <c r="E24" s="40">
        <v>510</v>
      </c>
      <c r="F24" s="41" t="s">
        <v>53</v>
      </c>
      <c r="G24" s="42">
        <f t="shared" si="0"/>
        <v>100000000</v>
      </c>
      <c r="H24" s="42"/>
      <c r="I24" s="42">
        <v>80000000</v>
      </c>
      <c r="J24" s="42">
        <v>20000000</v>
      </c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3">
        <f t="shared" si="23"/>
        <v>1</v>
      </c>
      <c r="AF24" s="42">
        <f t="shared" si="24"/>
        <v>100000000</v>
      </c>
      <c r="AG24" s="42"/>
      <c r="AH24" s="42">
        <f>+'[6]MARZO 2019'!$K$1158</f>
        <v>80000000</v>
      </c>
      <c r="AI24" s="42">
        <f>+'[4]JULIO 2019'!$M$2379</f>
        <v>20000000</v>
      </c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3">
        <f t="shared" si="3"/>
        <v>0</v>
      </c>
      <c r="BE24" s="42">
        <f t="shared" si="4"/>
        <v>0</v>
      </c>
      <c r="BF24" s="42">
        <f t="shared" si="25"/>
        <v>0</v>
      </c>
      <c r="BG24" s="42">
        <f t="shared" si="25"/>
        <v>0</v>
      </c>
      <c r="BH24" s="42">
        <f t="shared" si="25"/>
        <v>0</v>
      </c>
      <c r="BI24" s="42">
        <f t="shared" si="19"/>
        <v>0</v>
      </c>
      <c r="BJ24" s="42">
        <f t="shared" si="26"/>
        <v>0</v>
      </c>
      <c r="BK24" s="42">
        <f t="shared" si="26"/>
        <v>0</v>
      </c>
      <c r="BL24" s="42">
        <f t="shared" si="26"/>
        <v>0</v>
      </c>
      <c r="BM24" s="42">
        <f t="shared" si="26"/>
        <v>0</v>
      </c>
      <c r="BN24" s="42">
        <f t="shared" si="26"/>
        <v>0</v>
      </c>
      <c r="BO24" s="42">
        <f t="shared" si="26"/>
        <v>0</v>
      </c>
      <c r="BP24" s="42">
        <f t="shared" si="26"/>
        <v>0</v>
      </c>
      <c r="BQ24" s="42">
        <f t="shared" si="26"/>
        <v>0</v>
      </c>
      <c r="BR24" s="42">
        <f t="shared" si="26"/>
        <v>0</v>
      </c>
      <c r="BS24" s="42">
        <f t="shared" si="26"/>
        <v>0</v>
      </c>
      <c r="BT24" s="42">
        <f t="shared" si="26"/>
        <v>0</v>
      </c>
      <c r="BU24" s="42">
        <f t="shared" si="26"/>
        <v>0</v>
      </c>
      <c r="BV24" s="42">
        <f t="shared" si="26"/>
        <v>0</v>
      </c>
      <c r="BW24" s="42">
        <f t="shared" si="26"/>
        <v>0</v>
      </c>
      <c r="BX24" s="42">
        <f t="shared" si="26"/>
        <v>0</v>
      </c>
      <c r="BY24" s="42">
        <f t="shared" si="26"/>
        <v>0</v>
      </c>
      <c r="BZ24" s="42">
        <f t="shared" si="27"/>
        <v>0</v>
      </c>
      <c r="CA24" s="42"/>
      <c r="CB24" s="42">
        <f t="shared" si="28"/>
        <v>0</v>
      </c>
      <c r="CC24" s="43">
        <f t="shared" si="8"/>
        <v>0.90382985999999998</v>
      </c>
      <c r="CD24" s="42">
        <f t="shared" si="9"/>
        <v>90382986</v>
      </c>
      <c r="CE24" s="42"/>
      <c r="CF24" s="42">
        <f>+'[3]NOVIEMBRE 2019'!$H$3995+'[3]NOVIEMBRE 2019'!$H$4004+'[3]NOVIEMBRE 2019'!$H$4006+'[3]NOVIEMBRE 2019'!$H$4009</f>
        <v>74382986</v>
      </c>
      <c r="CG24" s="42">
        <f>+'[4]JULIO 2019'!$H$2395</f>
        <v>16000000</v>
      </c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3">
        <f t="shared" si="10"/>
        <v>9.6170140000000015E-2</v>
      </c>
      <c r="DC24" s="42">
        <f t="shared" si="11"/>
        <v>9617014</v>
      </c>
      <c r="DD24" s="42">
        <f t="shared" si="29"/>
        <v>0</v>
      </c>
      <c r="DE24" s="42">
        <f t="shared" si="29"/>
        <v>5617014</v>
      </c>
      <c r="DF24" s="42">
        <f t="shared" si="29"/>
        <v>4000000</v>
      </c>
      <c r="DG24" s="42">
        <f t="shared" si="29"/>
        <v>0</v>
      </c>
      <c r="DH24" s="42">
        <f t="shared" si="29"/>
        <v>0</v>
      </c>
      <c r="DI24" s="42">
        <f t="shared" si="29"/>
        <v>0</v>
      </c>
      <c r="DJ24" s="42">
        <f t="shared" si="29"/>
        <v>0</v>
      </c>
      <c r="DK24" s="42">
        <f t="shared" si="29"/>
        <v>0</v>
      </c>
      <c r="DL24" s="42">
        <f t="shared" si="29"/>
        <v>0</v>
      </c>
      <c r="DM24" s="42">
        <f t="shared" si="29"/>
        <v>0</v>
      </c>
      <c r="DN24" s="42">
        <f t="shared" si="29"/>
        <v>0</v>
      </c>
      <c r="DO24" s="42">
        <f t="shared" si="29"/>
        <v>0</v>
      </c>
      <c r="DP24" s="42">
        <f t="shared" si="29"/>
        <v>0</v>
      </c>
      <c r="DQ24" s="42">
        <f t="shared" si="29"/>
        <v>0</v>
      </c>
      <c r="DR24" s="42">
        <f t="shared" si="29"/>
        <v>0</v>
      </c>
      <c r="DS24" s="42">
        <f t="shared" si="29"/>
        <v>0</v>
      </c>
      <c r="DT24" s="42">
        <f t="shared" si="30"/>
        <v>0</v>
      </c>
      <c r="DU24" s="42">
        <f t="shared" si="30"/>
        <v>0</v>
      </c>
      <c r="DV24" s="42">
        <f t="shared" si="30"/>
        <v>0</v>
      </c>
      <c r="DW24" s="42">
        <f t="shared" si="30"/>
        <v>0</v>
      </c>
      <c r="DX24" s="42">
        <f t="shared" si="30"/>
        <v>0</v>
      </c>
      <c r="DY24" s="42"/>
      <c r="DZ24" s="42">
        <f t="shared" si="31"/>
        <v>0</v>
      </c>
      <c r="EB24" s="47">
        <f t="shared" si="15"/>
        <v>100000000</v>
      </c>
      <c r="EC24" s="47">
        <f t="shared" si="16"/>
        <v>100000000</v>
      </c>
      <c r="ED24" s="47">
        <f t="shared" si="17"/>
        <v>100000000</v>
      </c>
    </row>
    <row r="25" spans="1:136" ht="30" hidden="1" customHeight="1" x14ac:dyDescent="0.3">
      <c r="A25" s="48"/>
      <c r="B25" s="62"/>
      <c r="C25" s="38" t="s">
        <v>94</v>
      </c>
      <c r="D25" s="39" t="s">
        <v>95</v>
      </c>
      <c r="E25" s="40">
        <v>510</v>
      </c>
      <c r="F25" s="41" t="s">
        <v>53</v>
      </c>
      <c r="G25" s="42">
        <f t="shared" si="0"/>
        <v>20800000</v>
      </c>
      <c r="H25" s="42"/>
      <c r="I25" s="42">
        <v>20800000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3">
        <f t="shared" si="23"/>
        <v>1</v>
      </c>
      <c r="AF25" s="42">
        <f t="shared" si="24"/>
        <v>20800000</v>
      </c>
      <c r="AG25" s="42"/>
      <c r="AH25" s="42">
        <f>+'[3]NOVIEMBRE 2019'!$K$4021</f>
        <v>20800000</v>
      </c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3">
        <f t="shared" si="3"/>
        <v>0</v>
      </c>
      <c r="BE25" s="42">
        <f t="shared" si="4"/>
        <v>0</v>
      </c>
      <c r="BF25" s="42">
        <f t="shared" si="25"/>
        <v>0</v>
      </c>
      <c r="BG25" s="42">
        <f t="shared" si="25"/>
        <v>0</v>
      </c>
      <c r="BH25" s="42">
        <f t="shared" si="25"/>
        <v>0</v>
      </c>
      <c r="BI25" s="42">
        <f t="shared" si="19"/>
        <v>0</v>
      </c>
      <c r="BJ25" s="42">
        <f t="shared" si="26"/>
        <v>0</v>
      </c>
      <c r="BK25" s="42">
        <f t="shared" si="26"/>
        <v>0</v>
      </c>
      <c r="BL25" s="42">
        <f t="shared" si="26"/>
        <v>0</v>
      </c>
      <c r="BM25" s="42">
        <f t="shared" si="26"/>
        <v>0</v>
      </c>
      <c r="BN25" s="42">
        <f t="shared" si="26"/>
        <v>0</v>
      </c>
      <c r="BO25" s="42">
        <f t="shared" si="26"/>
        <v>0</v>
      </c>
      <c r="BP25" s="42">
        <f t="shared" si="26"/>
        <v>0</v>
      </c>
      <c r="BQ25" s="42">
        <f t="shared" si="26"/>
        <v>0</v>
      </c>
      <c r="BR25" s="42">
        <f t="shared" si="26"/>
        <v>0</v>
      </c>
      <c r="BS25" s="42">
        <f t="shared" si="26"/>
        <v>0</v>
      </c>
      <c r="BT25" s="42">
        <f t="shared" si="26"/>
        <v>0</v>
      </c>
      <c r="BU25" s="42">
        <f t="shared" si="26"/>
        <v>0</v>
      </c>
      <c r="BV25" s="42">
        <f t="shared" si="26"/>
        <v>0</v>
      </c>
      <c r="BW25" s="42">
        <f t="shared" si="26"/>
        <v>0</v>
      </c>
      <c r="BX25" s="42">
        <f t="shared" si="26"/>
        <v>0</v>
      </c>
      <c r="BY25" s="42">
        <f t="shared" si="26"/>
        <v>0</v>
      </c>
      <c r="BZ25" s="42">
        <f t="shared" si="27"/>
        <v>0</v>
      </c>
      <c r="CA25" s="42"/>
      <c r="CB25" s="42">
        <f t="shared" si="28"/>
        <v>0</v>
      </c>
      <c r="CC25" s="43">
        <f t="shared" si="8"/>
        <v>0.54326923076923073</v>
      </c>
      <c r="CD25" s="42">
        <f t="shared" si="9"/>
        <v>11300000</v>
      </c>
      <c r="CE25" s="42"/>
      <c r="CF25" s="42">
        <f>+'[1]OCTUBRE 2019'!$H$3596</f>
        <v>11300000</v>
      </c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3">
        <f t="shared" si="10"/>
        <v>0.45673076923076927</v>
      </c>
      <c r="DC25" s="42">
        <f t="shared" si="11"/>
        <v>9500000</v>
      </c>
      <c r="DD25" s="42">
        <f t="shared" si="29"/>
        <v>0</v>
      </c>
      <c r="DE25" s="42">
        <f t="shared" si="29"/>
        <v>9500000</v>
      </c>
      <c r="DF25" s="42">
        <f t="shared" si="29"/>
        <v>0</v>
      </c>
      <c r="DG25" s="42">
        <f t="shared" si="29"/>
        <v>0</v>
      </c>
      <c r="DH25" s="42">
        <f t="shared" si="29"/>
        <v>0</v>
      </c>
      <c r="DI25" s="42">
        <f t="shared" si="29"/>
        <v>0</v>
      </c>
      <c r="DJ25" s="42">
        <f t="shared" si="29"/>
        <v>0</v>
      </c>
      <c r="DK25" s="42">
        <f t="shared" si="29"/>
        <v>0</v>
      </c>
      <c r="DL25" s="42">
        <f t="shared" si="29"/>
        <v>0</v>
      </c>
      <c r="DM25" s="42">
        <f t="shared" si="29"/>
        <v>0</v>
      </c>
      <c r="DN25" s="42">
        <f t="shared" si="29"/>
        <v>0</v>
      </c>
      <c r="DO25" s="42">
        <f t="shared" si="29"/>
        <v>0</v>
      </c>
      <c r="DP25" s="42">
        <f t="shared" si="29"/>
        <v>0</v>
      </c>
      <c r="DQ25" s="42">
        <f t="shared" si="29"/>
        <v>0</v>
      </c>
      <c r="DR25" s="42">
        <f t="shared" si="29"/>
        <v>0</v>
      </c>
      <c r="DS25" s="42">
        <f t="shared" si="29"/>
        <v>0</v>
      </c>
      <c r="DT25" s="42">
        <f t="shared" si="30"/>
        <v>0</v>
      </c>
      <c r="DU25" s="42">
        <f t="shared" si="30"/>
        <v>0</v>
      </c>
      <c r="DV25" s="42">
        <f t="shared" si="30"/>
        <v>0</v>
      </c>
      <c r="DW25" s="42">
        <f t="shared" si="30"/>
        <v>0</v>
      </c>
      <c r="DX25" s="42">
        <f t="shared" si="30"/>
        <v>0</v>
      </c>
      <c r="DY25" s="42"/>
      <c r="DZ25" s="42">
        <f t="shared" si="31"/>
        <v>0</v>
      </c>
      <c r="EB25" s="47">
        <f t="shared" si="15"/>
        <v>20800000</v>
      </c>
      <c r="EC25" s="47">
        <f t="shared" si="16"/>
        <v>20800000</v>
      </c>
      <c r="ED25" s="47">
        <f t="shared" si="17"/>
        <v>20800000</v>
      </c>
      <c r="EF25" s="63"/>
    </row>
    <row r="26" spans="1:136" ht="30.6" hidden="1" customHeight="1" x14ac:dyDescent="0.3">
      <c r="A26" s="48"/>
      <c r="B26" s="64"/>
      <c r="C26" s="38" t="s">
        <v>96</v>
      </c>
      <c r="D26" s="39" t="s">
        <v>97</v>
      </c>
      <c r="E26" s="40">
        <v>510</v>
      </c>
      <c r="F26" s="41" t="s">
        <v>53</v>
      </c>
      <c r="G26" s="42">
        <f t="shared" si="0"/>
        <v>82655791</v>
      </c>
      <c r="H26" s="42">
        <v>23655791</v>
      </c>
      <c r="I26" s="42">
        <v>39000000</v>
      </c>
      <c r="J26" s="42">
        <v>20000000</v>
      </c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3">
        <f t="shared" si="23"/>
        <v>0.6654101223228267</v>
      </c>
      <c r="AF26" s="42">
        <f t="shared" si="24"/>
        <v>55000000</v>
      </c>
      <c r="AG26" s="42"/>
      <c r="AH26" s="42">
        <f>+'[6]MARZO 2019'!$K$1183</f>
        <v>39000000</v>
      </c>
      <c r="AI26" s="42">
        <f>+'[4]JULIO 2019'!$M$2421</f>
        <v>16000000</v>
      </c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3">
        <f t="shared" si="3"/>
        <v>0.3345898776771733</v>
      </c>
      <c r="BE26" s="42">
        <f t="shared" si="4"/>
        <v>27655791</v>
      </c>
      <c r="BF26" s="42">
        <f t="shared" si="25"/>
        <v>23655791</v>
      </c>
      <c r="BG26" s="42">
        <f t="shared" si="25"/>
        <v>0</v>
      </c>
      <c r="BH26" s="42">
        <f t="shared" si="25"/>
        <v>4000000</v>
      </c>
      <c r="BI26" s="42">
        <f t="shared" si="19"/>
        <v>0</v>
      </c>
      <c r="BJ26" s="42">
        <f t="shared" si="26"/>
        <v>0</v>
      </c>
      <c r="BK26" s="42">
        <f t="shared" si="26"/>
        <v>0</v>
      </c>
      <c r="BL26" s="42">
        <f t="shared" si="26"/>
        <v>0</v>
      </c>
      <c r="BM26" s="42">
        <f t="shared" si="26"/>
        <v>0</v>
      </c>
      <c r="BN26" s="42">
        <f t="shared" si="26"/>
        <v>0</v>
      </c>
      <c r="BO26" s="42">
        <f t="shared" si="26"/>
        <v>0</v>
      </c>
      <c r="BP26" s="42">
        <f t="shared" si="26"/>
        <v>0</v>
      </c>
      <c r="BQ26" s="42">
        <f t="shared" si="26"/>
        <v>0</v>
      </c>
      <c r="BR26" s="42">
        <f t="shared" si="26"/>
        <v>0</v>
      </c>
      <c r="BS26" s="42">
        <f t="shared" si="26"/>
        <v>0</v>
      </c>
      <c r="BT26" s="42">
        <f t="shared" si="26"/>
        <v>0</v>
      </c>
      <c r="BU26" s="42">
        <f t="shared" si="26"/>
        <v>0</v>
      </c>
      <c r="BV26" s="42">
        <f t="shared" si="26"/>
        <v>0</v>
      </c>
      <c r="BW26" s="42">
        <f t="shared" si="26"/>
        <v>0</v>
      </c>
      <c r="BX26" s="42">
        <f t="shared" si="26"/>
        <v>0</v>
      </c>
      <c r="BY26" s="42">
        <f t="shared" si="26"/>
        <v>0</v>
      </c>
      <c r="BZ26" s="42">
        <f t="shared" si="27"/>
        <v>0</v>
      </c>
      <c r="CA26" s="42"/>
      <c r="CB26" s="42">
        <f t="shared" si="28"/>
        <v>0</v>
      </c>
      <c r="CC26" s="43">
        <f t="shared" si="8"/>
        <v>0.34571543813548405</v>
      </c>
      <c r="CD26" s="42">
        <f t="shared" si="9"/>
        <v>28575383</v>
      </c>
      <c r="CE26" s="42"/>
      <c r="CF26" s="42">
        <f>+'[3]NOVIEMBRE 2019'!$H$4041+'[3]NOVIEMBRE 2019'!$H$4044</f>
        <v>22368856</v>
      </c>
      <c r="CG26" s="42">
        <f>+'[3]NOVIEMBRE 2019'!$H$4056+'[3]NOVIEMBRE 2019'!$H$4067</f>
        <v>6206527</v>
      </c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3">
        <f t="shared" si="10"/>
        <v>0.65428456186451589</v>
      </c>
      <c r="DC26" s="42">
        <f t="shared" si="11"/>
        <v>54080408</v>
      </c>
      <c r="DD26" s="42">
        <f t="shared" si="29"/>
        <v>23655791</v>
      </c>
      <c r="DE26" s="42">
        <f t="shared" si="29"/>
        <v>16631144</v>
      </c>
      <c r="DF26" s="42">
        <f t="shared" si="29"/>
        <v>13793473</v>
      </c>
      <c r="DG26" s="42">
        <f t="shared" si="29"/>
        <v>0</v>
      </c>
      <c r="DH26" s="42">
        <f t="shared" si="29"/>
        <v>0</v>
      </c>
      <c r="DI26" s="42">
        <f t="shared" si="29"/>
        <v>0</v>
      </c>
      <c r="DJ26" s="42">
        <f t="shared" si="29"/>
        <v>0</v>
      </c>
      <c r="DK26" s="42">
        <f t="shared" si="29"/>
        <v>0</v>
      </c>
      <c r="DL26" s="42">
        <f t="shared" si="29"/>
        <v>0</v>
      </c>
      <c r="DM26" s="42">
        <f t="shared" si="29"/>
        <v>0</v>
      </c>
      <c r="DN26" s="42">
        <f t="shared" si="29"/>
        <v>0</v>
      </c>
      <c r="DO26" s="42">
        <f t="shared" si="29"/>
        <v>0</v>
      </c>
      <c r="DP26" s="42">
        <f t="shared" si="29"/>
        <v>0</v>
      </c>
      <c r="DQ26" s="42">
        <f t="shared" si="29"/>
        <v>0</v>
      </c>
      <c r="DR26" s="42">
        <f t="shared" si="29"/>
        <v>0</v>
      </c>
      <c r="DS26" s="42">
        <f t="shared" si="29"/>
        <v>0</v>
      </c>
      <c r="DT26" s="42">
        <f t="shared" si="30"/>
        <v>0</v>
      </c>
      <c r="DU26" s="42">
        <f t="shared" si="30"/>
        <v>0</v>
      </c>
      <c r="DV26" s="42">
        <f t="shared" si="30"/>
        <v>0</v>
      </c>
      <c r="DW26" s="42">
        <f t="shared" si="30"/>
        <v>0</v>
      </c>
      <c r="DX26" s="42">
        <f t="shared" si="30"/>
        <v>0</v>
      </c>
      <c r="DY26" s="42"/>
      <c r="DZ26" s="42">
        <f t="shared" si="31"/>
        <v>0</v>
      </c>
      <c r="EB26" s="47">
        <f t="shared" si="15"/>
        <v>82655791</v>
      </c>
      <c r="EC26" s="47">
        <f t="shared" si="16"/>
        <v>82655791</v>
      </c>
      <c r="ED26" s="47">
        <f t="shared" si="17"/>
        <v>82655791</v>
      </c>
    </row>
    <row r="27" spans="1:136" ht="45.6" hidden="1" customHeight="1" x14ac:dyDescent="0.3">
      <c r="A27" s="48"/>
      <c r="B27" s="61" t="s">
        <v>98</v>
      </c>
      <c r="C27" s="55" t="s">
        <v>99</v>
      </c>
      <c r="D27" s="50" t="s">
        <v>100</v>
      </c>
      <c r="E27" s="40">
        <v>510</v>
      </c>
      <c r="F27" s="41" t="s">
        <v>101</v>
      </c>
      <c r="G27" s="42">
        <f t="shared" si="0"/>
        <v>312819998</v>
      </c>
      <c r="H27" s="42"/>
      <c r="I27" s="42">
        <f>190000000-18086668</f>
        <v>171913332</v>
      </c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>
        <f>90000000+18000000+20000000+27906666-15000000</f>
        <v>140906666</v>
      </c>
      <c r="AE27" s="43">
        <f t="shared" si="23"/>
        <v>0.96905732350270013</v>
      </c>
      <c r="AF27" s="42">
        <f t="shared" si="24"/>
        <v>303140510</v>
      </c>
      <c r="AG27" s="42"/>
      <c r="AH27" s="42">
        <f>+'[1]OCTUBRE 2019'!$K$3677</f>
        <v>171913332</v>
      </c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>
        <f>+'[3]NOVIEMBRE 2019'!$AG$4102</f>
        <v>131227178</v>
      </c>
      <c r="BD27" s="43">
        <f t="shared" si="3"/>
        <v>3.094267649729987E-2</v>
      </c>
      <c r="BE27" s="42">
        <f t="shared" si="4"/>
        <v>9679488</v>
      </c>
      <c r="BF27" s="42">
        <f t="shared" si="25"/>
        <v>0</v>
      </c>
      <c r="BG27" s="42">
        <f t="shared" si="25"/>
        <v>0</v>
      </c>
      <c r="BH27" s="42">
        <f t="shared" si="25"/>
        <v>0</v>
      </c>
      <c r="BI27" s="42">
        <f t="shared" si="19"/>
        <v>0</v>
      </c>
      <c r="BJ27" s="42">
        <f t="shared" si="26"/>
        <v>0</v>
      </c>
      <c r="BK27" s="42">
        <f t="shared" si="26"/>
        <v>0</v>
      </c>
      <c r="BL27" s="42">
        <f t="shared" si="26"/>
        <v>0</v>
      </c>
      <c r="BM27" s="42">
        <f t="shared" si="26"/>
        <v>0</v>
      </c>
      <c r="BN27" s="42">
        <f t="shared" si="26"/>
        <v>0</v>
      </c>
      <c r="BO27" s="42">
        <f t="shared" si="26"/>
        <v>0</v>
      </c>
      <c r="BP27" s="42">
        <f t="shared" si="26"/>
        <v>0</v>
      </c>
      <c r="BQ27" s="42">
        <f t="shared" si="26"/>
        <v>0</v>
      </c>
      <c r="BR27" s="42">
        <f t="shared" si="26"/>
        <v>0</v>
      </c>
      <c r="BS27" s="42">
        <f t="shared" si="26"/>
        <v>0</v>
      </c>
      <c r="BT27" s="42">
        <f t="shared" si="26"/>
        <v>0</v>
      </c>
      <c r="BU27" s="42">
        <f t="shared" si="26"/>
        <v>0</v>
      </c>
      <c r="BV27" s="42">
        <f t="shared" si="26"/>
        <v>0</v>
      </c>
      <c r="BW27" s="42">
        <f t="shared" si="26"/>
        <v>0</v>
      </c>
      <c r="BX27" s="42">
        <f t="shared" si="26"/>
        <v>0</v>
      </c>
      <c r="BY27" s="42">
        <f t="shared" si="26"/>
        <v>0</v>
      </c>
      <c r="BZ27" s="42">
        <f t="shared" si="27"/>
        <v>0</v>
      </c>
      <c r="CA27" s="42"/>
      <c r="CB27" s="42">
        <f t="shared" si="28"/>
        <v>9679488</v>
      </c>
      <c r="CC27" s="43">
        <f t="shared" si="8"/>
        <v>0.83948132689394106</v>
      </c>
      <c r="CD27" s="42">
        <f t="shared" si="9"/>
        <v>262606547</v>
      </c>
      <c r="CE27" s="42"/>
      <c r="CF27" s="42">
        <f>+'[3]NOVIEMBRE 2019'!$H$4111+'[3]NOVIEMBRE 2019'!$H$4140+'[3]NOVIEMBRE 2019'!$H$4143+'[3]NOVIEMBRE 2019'!$H$4149+'[3]NOVIEMBRE 2019'!$H$4152+'[3]NOVIEMBRE 2019'!$H$4164</f>
        <v>140672789</v>
      </c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>
        <f>+'[3]NOVIEMBRE 2019'!$H$4100-CF27</f>
        <v>121933758</v>
      </c>
      <c r="DB27" s="43">
        <f t="shared" si="10"/>
        <v>0.16051867310605894</v>
      </c>
      <c r="DC27" s="42">
        <f t="shared" si="11"/>
        <v>50213451</v>
      </c>
      <c r="DD27" s="42">
        <f t="shared" si="29"/>
        <v>0</v>
      </c>
      <c r="DE27" s="42">
        <f t="shared" si="29"/>
        <v>31240543</v>
      </c>
      <c r="DF27" s="42">
        <f t="shared" si="29"/>
        <v>0</v>
      </c>
      <c r="DG27" s="42">
        <f t="shared" si="29"/>
        <v>0</v>
      </c>
      <c r="DH27" s="42">
        <f t="shared" si="29"/>
        <v>0</v>
      </c>
      <c r="DI27" s="42">
        <f t="shared" si="29"/>
        <v>0</v>
      </c>
      <c r="DJ27" s="42">
        <f t="shared" si="29"/>
        <v>0</v>
      </c>
      <c r="DK27" s="42">
        <f t="shared" si="29"/>
        <v>0</v>
      </c>
      <c r="DL27" s="42">
        <f t="shared" si="29"/>
        <v>0</v>
      </c>
      <c r="DM27" s="42">
        <f t="shared" si="29"/>
        <v>0</v>
      </c>
      <c r="DN27" s="42">
        <f t="shared" si="29"/>
        <v>0</v>
      </c>
      <c r="DO27" s="42">
        <f t="shared" si="29"/>
        <v>0</v>
      </c>
      <c r="DP27" s="42">
        <f t="shared" si="29"/>
        <v>0</v>
      </c>
      <c r="DQ27" s="42">
        <f t="shared" si="29"/>
        <v>0</v>
      </c>
      <c r="DR27" s="42">
        <f t="shared" si="29"/>
        <v>0</v>
      </c>
      <c r="DS27" s="42">
        <f t="shared" si="29"/>
        <v>0</v>
      </c>
      <c r="DT27" s="42">
        <f t="shared" si="30"/>
        <v>0</v>
      </c>
      <c r="DU27" s="42">
        <f t="shared" si="30"/>
        <v>0</v>
      </c>
      <c r="DV27" s="42">
        <f t="shared" si="30"/>
        <v>0</v>
      </c>
      <c r="DW27" s="42">
        <f t="shared" si="30"/>
        <v>0</v>
      </c>
      <c r="DX27" s="42">
        <f t="shared" si="30"/>
        <v>0</v>
      </c>
      <c r="DY27" s="42"/>
      <c r="DZ27" s="42">
        <f t="shared" si="31"/>
        <v>18972908</v>
      </c>
      <c r="EB27" s="47">
        <f t="shared" si="15"/>
        <v>312819998</v>
      </c>
      <c r="EC27" s="47">
        <f t="shared" si="16"/>
        <v>312819998</v>
      </c>
      <c r="ED27" s="47">
        <f t="shared" si="17"/>
        <v>312819998</v>
      </c>
    </row>
    <row r="28" spans="1:136" ht="22.2" hidden="1" customHeight="1" x14ac:dyDescent="0.3">
      <c r="A28" s="48"/>
      <c r="B28" s="62"/>
      <c r="C28" s="55" t="s">
        <v>102</v>
      </c>
      <c r="D28" s="50" t="s">
        <v>103</v>
      </c>
      <c r="E28" s="40">
        <v>510</v>
      </c>
      <c r="F28" s="41" t="s">
        <v>104</v>
      </c>
      <c r="G28" s="42">
        <f t="shared" si="0"/>
        <v>5000000</v>
      </c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>
        <v>5000000</v>
      </c>
      <c r="Y28" s="42"/>
      <c r="Z28" s="42"/>
      <c r="AA28" s="42"/>
      <c r="AB28" s="42"/>
      <c r="AC28" s="42"/>
      <c r="AD28" s="42">
        <f>50000000-50000000</f>
        <v>0</v>
      </c>
      <c r="AE28" s="43">
        <f t="shared" si="23"/>
        <v>0</v>
      </c>
      <c r="AF28" s="42">
        <f t="shared" si="24"/>
        <v>0</v>
      </c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3">
        <f t="shared" si="3"/>
        <v>1</v>
      </c>
      <c r="BE28" s="42">
        <f t="shared" si="4"/>
        <v>5000000</v>
      </c>
      <c r="BF28" s="42">
        <f t="shared" si="25"/>
        <v>0</v>
      </c>
      <c r="BG28" s="42">
        <f t="shared" si="25"/>
        <v>0</v>
      </c>
      <c r="BH28" s="42">
        <f t="shared" si="25"/>
        <v>0</v>
      </c>
      <c r="BI28" s="42">
        <f t="shared" si="19"/>
        <v>0</v>
      </c>
      <c r="BJ28" s="42">
        <f t="shared" si="26"/>
        <v>0</v>
      </c>
      <c r="BK28" s="42">
        <f t="shared" si="26"/>
        <v>0</v>
      </c>
      <c r="BL28" s="42">
        <f t="shared" si="26"/>
        <v>0</v>
      </c>
      <c r="BM28" s="42">
        <f t="shared" si="26"/>
        <v>0</v>
      </c>
      <c r="BN28" s="42">
        <f t="shared" si="26"/>
        <v>0</v>
      </c>
      <c r="BO28" s="42">
        <f t="shared" si="26"/>
        <v>0</v>
      </c>
      <c r="BP28" s="42">
        <f t="shared" si="26"/>
        <v>0</v>
      </c>
      <c r="BQ28" s="42">
        <f t="shared" si="26"/>
        <v>0</v>
      </c>
      <c r="BR28" s="42">
        <f t="shared" si="26"/>
        <v>0</v>
      </c>
      <c r="BS28" s="42">
        <f t="shared" si="26"/>
        <v>0</v>
      </c>
      <c r="BT28" s="42">
        <f t="shared" si="26"/>
        <v>0</v>
      </c>
      <c r="BU28" s="42">
        <f t="shared" si="26"/>
        <v>0</v>
      </c>
      <c r="BV28" s="42">
        <f t="shared" si="26"/>
        <v>5000000</v>
      </c>
      <c r="BW28" s="42">
        <f t="shared" si="26"/>
        <v>0</v>
      </c>
      <c r="BX28" s="42">
        <f t="shared" si="26"/>
        <v>0</v>
      </c>
      <c r="BY28" s="42">
        <f t="shared" si="26"/>
        <v>0</v>
      </c>
      <c r="BZ28" s="42">
        <f t="shared" si="27"/>
        <v>0</v>
      </c>
      <c r="CA28" s="42"/>
      <c r="CB28" s="42">
        <f t="shared" si="28"/>
        <v>0</v>
      </c>
      <c r="CC28" s="43">
        <f t="shared" si="8"/>
        <v>0</v>
      </c>
      <c r="CD28" s="42">
        <f t="shared" si="9"/>
        <v>0</v>
      </c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3">
        <f t="shared" si="10"/>
        <v>1</v>
      </c>
      <c r="DC28" s="42">
        <f t="shared" si="11"/>
        <v>5000000</v>
      </c>
      <c r="DD28" s="42">
        <f t="shared" si="29"/>
        <v>0</v>
      </c>
      <c r="DE28" s="42">
        <f t="shared" si="29"/>
        <v>0</v>
      </c>
      <c r="DF28" s="42">
        <f t="shared" si="29"/>
        <v>0</v>
      </c>
      <c r="DG28" s="42">
        <f t="shared" si="29"/>
        <v>0</v>
      </c>
      <c r="DH28" s="42">
        <f t="shared" si="29"/>
        <v>0</v>
      </c>
      <c r="DI28" s="42">
        <f t="shared" si="29"/>
        <v>0</v>
      </c>
      <c r="DJ28" s="42">
        <f t="shared" si="29"/>
        <v>0</v>
      </c>
      <c r="DK28" s="42">
        <f t="shared" si="29"/>
        <v>0</v>
      </c>
      <c r="DL28" s="42">
        <f t="shared" si="29"/>
        <v>0</v>
      </c>
      <c r="DM28" s="42">
        <f t="shared" si="29"/>
        <v>0</v>
      </c>
      <c r="DN28" s="42">
        <f t="shared" si="29"/>
        <v>0</v>
      </c>
      <c r="DO28" s="42">
        <f t="shared" si="29"/>
        <v>0</v>
      </c>
      <c r="DP28" s="42">
        <f t="shared" si="29"/>
        <v>0</v>
      </c>
      <c r="DQ28" s="42">
        <f t="shared" si="29"/>
        <v>0</v>
      </c>
      <c r="DR28" s="42">
        <f t="shared" si="29"/>
        <v>0</v>
      </c>
      <c r="DS28" s="42">
        <f t="shared" si="29"/>
        <v>0</v>
      </c>
      <c r="DT28" s="42">
        <f t="shared" si="30"/>
        <v>5000000</v>
      </c>
      <c r="DU28" s="42">
        <f t="shared" si="30"/>
        <v>0</v>
      </c>
      <c r="DV28" s="42">
        <f t="shared" si="30"/>
        <v>0</v>
      </c>
      <c r="DW28" s="42">
        <f t="shared" si="30"/>
        <v>0</v>
      </c>
      <c r="DX28" s="42">
        <f t="shared" si="30"/>
        <v>0</v>
      </c>
      <c r="DY28" s="42"/>
      <c r="DZ28" s="42">
        <f t="shared" si="31"/>
        <v>0</v>
      </c>
      <c r="EB28" s="47">
        <f t="shared" si="15"/>
        <v>5000000</v>
      </c>
      <c r="EC28" s="47">
        <f t="shared" si="16"/>
        <v>5000000</v>
      </c>
      <c r="ED28" s="47">
        <f t="shared" si="17"/>
        <v>5000000</v>
      </c>
    </row>
    <row r="29" spans="1:136" ht="27.6" hidden="1" customHeight="1" x14ac:dyDescent="0.3">
      <c r="A29" s="48"/>
      <c r="B29" s="62"/>
      <c r="C29" s="55" t="s">
        <v>105</v>
      </c>
      <c r="D29" s="50" t="s">
        <v>106</v>
      </c>
      <c r="E29" s="40">
        <v>510</v>
      </c>
      <c r="F29" s="41" t="s">
        <v>107</v>
      </c>
      <c r="G29" s="42">
        <f t="shared" si="0"/>
        <v>132586668</v>
      </c>
      <c r="H29" s="42"/>
      <c r="I29" s="42">
        <f>100000000+18086668</f>
        <v>118086668</v>
      </c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>
        <f>14500000</f>
        <v>14500000</v>
      </c>
      <c r="AE29" s="43">
        <f t="shared" si="23"/>
        <v>0.9165477180556344</v>
      </c>
      <c r="AF29" s="42">
        <f t="shared" si="24"/>
        <v>121522008</v>
      </c>
      <c r="AG29" s="42"/>
      <c r="AH29" s="42">
        <f>+'[1]OCTUBRE 2019'!$K$3779</f>
        <v>118086668</v>
      </c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>
        <f>+'[1]OCTUBRE 2019'!$AG$3779</f>
        <v>3435340</v>
      </c>
      <c r="BD29" s="43">
        <f t="shared" si="3"/>
        <v>8.3452281944365603E-2</v>
      </c>
      <c r="BE29" s="42">
        <f t="shared" si="4"/>
        <v>11064660</v>
      </c>
      <c r="BF29" s="42">
        <f t="shared" si="25"/>
        <v>0</v>
      </c>
      <c r="BG29" s="42">
        <f t="shared" si="25"/>
        <v>0</v>
      </c>
      <c r="BH29" s="42">
        <f t="shared" si="25"/>
        <v>0</v>
      </c>
      <c r="BI29" s="42">
        <f t="shared" si="19"/>
        <v>0</v>
      </c>
      <c r="BJ29" s="42">
        <f t="shared" si="26"/>
        <v>0</v>
      </c>
      <c r="BK29" s="42">
        <f t="shared" si="26"/>
        <v>0</v>
      </c>
      <c r="BL29" s="42">
        <f t="shared" si="26"/>
        <v>0</v>
      </c>
      <c r="BM29" s="42">
        <f t="shared" si="26"/>
        <v>0</v>
      </c>
      <c r="BN29" s="42">
        <f t="shared" si="26"/>
        <v>0</v>
      </c>
      <c r="BO29" s="42">
        <f t="shared" si="26"/>
        <v>0</v>
      </c>
      <c r="BP29" s="42">
        <f t="shared" si="26"/>
        <v>0</v>
      </c>
      <c r="BQ29" s="42">
        <f t="shared" si="26"/>
        <v>0</v>
      </c>
      <c r="BR29" s="42">
        <f t="shared" si="26"/>
        <v>0</v>
      </c>
      <c r="BS29" s="42">
        <f t="shared" si="26"/>
        <v>0</v>
      </c>
      <c r="BT29" s="42">
        <f t="shared" si="26"/>
        <v>0</v>
      </c>
      <c r="BU29" s="42">
        <f t="shared" si="26"/>
        <v>0</v>
      </c>
      <c r="BV29" s="42">
        <f t="shared" si="26"/>
        <v>0</v>
      </c>
      <c r="BW29" s="42">
        <f t="shared" si="26"/>
        <v>0</v>
      </c>
      <c r="BX29" s="42">
        <f t="shared" si="26"/>
        <v>0</v>
      </c>
      <c r="BY29" s="42">
        <f t="shared" si="26"/>
        <v>0</v>
      </c>
      <c r="BZ29" s="42">
        <f t="shared" si="27"/>
        <v>0</v>
      </c>
      <c r="CA29" s="42"/>
      <c r="CB29" s="42">
        <f t="shared" si="28"/>
        <v>11064660</v>
      </c>
      <c r="CC29" s="43">
        <f t="shared" si="8"/>
        <v>0.74652654367933891</v>
      </c>
      <c r="CD29" s="42">
        <f t="shared" si="9"/>
        <v>98979467</v>
      </c>
      <c r="CE29" s="42"/>
      <c r="CF29" s="42">
        <f>+'[3]NOVIEMBRE 2019'!$H$4209+'[3]NOVIEMBRE 2019'!$H$4223+'[3]NOVIEMBRE 2019'!$H$4227+'[3]NOVIEMBRE 2019'!$H$4229+'[3]NOVIEMBRE 2019'!$H$4233+'[3]NOVIEMBRE 2019'!$H$4248</f>
        <v>97740504</v>
      </c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>
        <f>+'[1]OCTUBRE 2019'!$H$3791+'[1]OCTUBRE 2019'!$H$3818</f>
        <v>1238963</v>
      </c>
      <c r="DB29" s="43">
        <f t="shared" si="10"/>
        <v>0.25347345632066109</v>
      </c>
      <c r="DC29" s="42">
        <f t="shared" si="11"/>
        <v>33607201</v>
      </c>
      <c r="DD29" s="42">
        <f t="shared" si="29"/>
        <v>0</v>
      </c>
      <c r="DE29" s="42">
        <f t="shared" si="29"/>
        <v>20346164</v>
      </c>
      <c r="DF29" s="42">
        <f t="shared" si="29"/>
        <v>0</v>
      </c>
      <c r="DG29" s="42">
        <f t="shared" si="29"/>
        <v>0</v>
      </c>
      <c r="DH29" s="42">
        <f t="shared" si="29"/>
        <v>0</v>
      </c>
      <c r="DI29" s="42">
        <f t="shared" si="29"/>
        <v>0</v>
      </c>
      <c r="DJ29" s="42">
        <f t="shared" si="29"/>
        <v>0</v>
      </c>
      <c r="DK29" s="42">
        <f t="shared" si="29"/>
        <v>0</v>
      </c>
      <c r="DL29" s="42">
        <f t="shared" si="29"/>
        <v>0</v>
      </c>
      <c r="DM29" s="42">
        <f t="shared" si="29"/>
        <v>0</v>
      </c>
      <c r="DN29" s="42">
        <f t="shared" si="29"/>
        <v>0</v>
      </c>
      <c r="DO29" s="42">
        <f t="shared" si="29"/>
        <v>0</v>
      </c>
      <c r="DP29" s="42">
        <f t="shared" si="29"/>
        <v>0</v>
      </c>
      <c r="DQ29" s="42">
        <f t="shared" si="29"/>
        <v>0</v>
      </c>
      <c r="DR29" s="42">
        <f t="shared" si="29"/>
        <v>0</v>
      </c>
      <c r="DS29" s="42">
        <f t="shared" si="29"/>
        <v>0</v>
      </c>
      <c r="DT29" s="42">
        <f t="shared" si="30"/>
        <v>0</v>
      </c>
      <c r="DU29" s="42">
        <f t="shared" si="30"/>
        <v>0</v>
      </c>
      <c r="DV29" s="42">
        <f t="shared" si="30"/>
        <v>0</v>
      </c>
      <c r="DW29" s="42">
        <f t="shared" si="30"/>
        <v>0</v>
      </c>
      <c r="DX29" s="42">
        <f t="shared" si="30"/>
        <v>0</v>
      </c>
      <c r="DY29" s="42"/>
      <c r="DZ29" s="42">
        <f t="shared" si="31"/>
        <v>13261037</v>
      </c>
      <c r="EB29" s="47">
        <f t="shared" si="15"/>
        <v>132586668</v>
      </c>
      <c r="EC29" s="47">
        <f t="shared" si="16"/>
        <v>132586668</v>
      </c>
      <c r="ED29" s="47">
        <f t="shared" si="17"/>
        <v>132586668</v>
      </c>
    </row>
    <row r="30" spans="1:136" ht="73.8" hidden="1" customHeight="1" x14ac:dyDescent="0.3">
      <c r="A30" s="48"/>
      <c r="B30" s="62"/>
      <c r="C30" s="55" t="s">
        <v>108</v>
      </c>
      <c r="D30" s="50" t="s">
        <v>109</v>
      </c>
      <c r="E30" s="40">
        <v>510</v>
      </c>
      <c r="F30" s="41" t="s">
        <v>53</v>
      </c>
      <c r="G30" s="42">
        <f t="shared" si="0"/>
        <v>40000000</v>
      </c>
      <c r="H30" s="42"/>
      <c r="I30" s="42">
        <v>40000000</v>
      </c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3">
        <f t="shared" si="23"/>
        <v>0</v>
      </c>
      <c r="AF30" s="42">
        <f t="shared" si="24"/>
        <v>0</v>
      </c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3">
        <f t="shared" si="3"/>
        <v>1</v>
      </c>
      <c r="BE30" s="42">
        <f t="shared" si="4"/>
        <v>40000000</v>
      </c>
      <c r="BF30" s="42">
        <f t="shared" si="25"/>
        <v>0</v>
      </c>
      <c r="BG30" s="42">
        <f t="shared" si="25"/>
        <v>40000000</v>
      </c>
      <c r="BH30" s="42">
        <f t="shared" si="25"/>
        <v>0</v>
      </c>
      <c r="BI30" s="42">
        <f t="shared" si="19"/>
        <v>0</v>
      </c>
      <c r="BJ30" s="42">
        <f t="shared" si="26"/>
        <v>0</v>
      </c>
      <c r="BK30" s="42">
        <f t="shared" si="26"/>
        <v>0</v>
      </c>
      <c r="BL30" s="42">
        <f t="shared" si="26"/>
        <v>0</v>
      </c>
      <c r="BM30" s="42">
        <f t="shared" si="26"/>
        <v>0</v>
      </c>
      <c r="BN30" s="42">
        <f t="shared" si="26"/>
        <v>0</v>
      </c>
      <c r="BO30" s="42">
        <f t="shared" si="26"/>
        <v>0</v>
      </c>
      <c r="BP30" s="42">
        <f t="shared" si="26"/>
        <v>0</v>
      </c>
      <c r="BQ30" s="42">
        <f t="shared" si="26"/>
        <v>0</v>
      </c>
      <c r="BR30" s="42">
        <f t="shared" si="26"/>
        <v>0</v>
      </c>
      <c r="BS30" s="42">
        <f t="shared" si="26"/>
        <v>0</v>
      </c>
      <c r="BT30" s="42">
        <f t="shared" si="26"/>
        <v>0</v>
      </c>
      <c r="BU30" s="42">
        <f t="shared" si="26"/>
        <v>0</v>
      </c>
      <c r="BV30" s="42">
        <f t="shared" si="26"/>
        <v>0</v>
      </c>
      <c r="BW30" s="42">
        <f t="shared" si="26"/>
        <v>0</v>
      </c>
      <c r="BX30" s="42">
        <f t="shared" si="26"/>
        <v>0</v>
      </c>
      <c r="BY30" s="42">
        <f t="shared" si="26"/>
        <v>0</v>
      </c>
      <c r="BZ30" s="42">
        <f t="shared" si="27"/>
        <v>0</v>
      </c>
      <c r="CA30" s="42"/>
      <c r="CB30" s="42">
        <f t="shared" si="28"/>
        <v>0</v>
      </c>
      <c r="CC30" s="43">
        <f t="shared" si="8"/>
        <v>0</v>
      </c>
      <c r="CD30" s="42">
        <f t="shared" si="9"/>
        <v>0</v>
      </c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3">
        <f t="shared" si="10"/>
        <v>1</v>
      </c>
      <c r="DC30" s="42">
        <f t="shared" si="11"/>
        <v>40000000</v>
      </c>
      <c r="DD30" s="42">
        <f t="shared" si="29"/>
        <v>0</v>
      </c>
      <c r="DE30" s="42">
        <f t="shared" si="29"/>
        <v>40000000</v>
      </c>
      <c r="DF30" s="42">
        <f t="shared" si="29"/>
        <v>0</v>
      </c>
      <c r="DG30" s="42">
        <f t="shared" si="29"/>
        <v>0</v>
      </c>
      <c r="DH30" s="42">
        <f t="shared" si="29"/>
        <v>0</v>
      </c>
      <c r="DI30" s="42">
        <f t="shared" si="29"/>
        <v>0</v>
      </c>
      <c r="DJ30" s="42">
        <f t="shared" si="29"/>
        <v>0</v>
      </c>
      <c r="DK30" s="42">
        <f t="shared" si="29"/>
        <v>0</v>
      </c>
      <c r="DL30" s="42">
        <f t="shared" si="29"/>
        <v>0</v>
      </c>
      <c r="DM30" s="42">
        <f t="shared" si="29"/>
        <v>0</v>
      </c>
      <c r="DN30" s="42">
        <f t="shared" si="29"/>
        <v>0</v>
      </c>
      <c r="DO30" s="42">
        <f t="shared" si="29"/>
        <v>0</v>
      </c>
      <c r="DP30" s="42">
        <f t="shared" si="29"/>
        <v>0</v>
      </c>
      <c r="DQ30" s="42">
        <f t="shared" si="29"/>
        <v>0</v>
      </c>
      <c r="DR30" s="42">
        <f t="shared" si="29"/>
        <v>0</v>
      </c>
      <c r="DS30" s="42">
        <f t="shared" si="29"/>
        <v>0</v>
      </c>
      <c r="DT30" s="42">
        <f t="shared" si="30"/>
        <v>0</v>
      </c>
      <c r="DU30" s="42">
        <f t="shared" si="30"/>
        <v>0</v>
      </c>
      <c r="DV30" s="42">
        <f t="shared" si="30"/>
        <v>0</v>
      </c>
      <c r="DW30" s="42">
        <f t="shared" si="30"/>
        <v>0</v>
      </c>
      <c r="DX30" s="42">
        <f t="shared" si="30"/>
        <v>0</v>
      </c>
      <c r="DY30" s="42"/>
      <c r="DZ30" s="42">
        <f t="shared" si="31"/>
        <v>0</v>
      </c>
      <c r="EB30" s="47">
        <f t="shared" si="15"/>
        <v>40000000</v>
      </c>
      <c r="EC30" s="47">
        <f t="shared" si="16"/>
        <v>40000000</v>
      </c>
      <c r="ED30" s="47">
        <f t="shared" si="17"/>
        <v>40000000</v>
      </c>
    </row>
    <row r="31" spans="1:136" ht="40.799999999999997" hidden="1" customHeight="1" x14ac:dyDescent="0.3">
      <c r="A31" s="48"/>
      <c r="B31" s="64"/>
      <c r="C31" s="55" t="s">
        <v>110</v>
      </c>
      <c r="D31" s="50" t="s">
        <v>111</v>
      </c>
      <c r="E31" s="40">
        <v>510</v>
      </c>
      <c r="F31" s="41" t="s">
        <v>53</v>
      </c>
      <c r="G31" s="42">
        <f t="shared" si="0"/>
        <v>10000000</v>
      </c>
      <c r="H31" s="42"/>
      <c r="I31" s="42">
        <v>6000000</v>
      </c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>
        <v>4000000</v>
      </c>
      <c r="Y31" s="42"/>
      <c r="Z31" s="42"/>
      <c r="AA31" s="42"/>
      <c r="AB31" s="42"/>
      <c r="AC31" s="42"/>
      <c r="AD31" s="42"/>
      <c r="AE31" s="43"/>
      <c r="AF31" s="42">
        <f t="shared" si="24"/>
        <v>10000000</v>
      </c>
      <c r="AG31" s="42"/>
      <c r="AH31" s="42">
        <f>+'[4]JULIO 2019'!$K$2584</f>
        <v>6000000</v>
      </c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>
        <f>+'[4]JULIO 2019'!$Y$2584</f>
        <v>4000000</v>
      </c>
      <c r="AX31" s="42"/>
      <c r="AY31" s="42"/>
      <c r="AZ31" s="42"/>
      <c r="BA31" s="42"/>
      <c r="BB31" s="42"/>
      <c r="BC31" s="42"/>
      <c r="BD31" s="43">
        <f t="shared" si="3"/>
        <v>1</v>
      </c>
      <c r="BE31" s="42">
        <f t="shared" si="4"/>
        <v>0</v>
      </c>
      <c r="BF31" s="42">
        <f t="shared" si="25"/>
        <v>0</v>
      </c>
      <c r="BG31" s="42">
        <f t="shared" si="25"/>
        <v>0</v>
      </c>
      <c r="BH31" s="42">
        <f t="shared" si="25"/>
        <v>0</v>
      </c>
      <c r="BI31" s="42">
        <f t="shared" si="19"/>
        <v>0</v>
      </c>
      <c r="BJ31" s="42">
        <f t="shared" si="26"/>
        <v>0</v>
      </c>
      <c r="BK31" s="42">
        <f t="shared" si="26"/>
        <v>0</v>
      </c>
      <c r="BL31" s="42">
        <f t="shared" si="26"/>
        <v>0</v>
      </c>
      <c r="BM31" s="42">
        <f t="shared" si="26"/>
        <v>0</v>
      </c>
      <c r="BN31" s="42">
        <f t="shared" si="26"/>
        <v>0</v>
      </c>
      <c r="BO31" s="42">
        <f t="shared" si="26"/>
        <v>0</v>
      </c>
      <c r="BP31" s="42">
        <f t="shared" si="26"/>
        <v>0</v>
      </c>
      <c r="BQ31" s="42">
        <f t="shared" si="26"/>
        <v>0</v>
      </c>
      <c r="BR31" s="42">
        <f t="shared" si="26"/>
        <v>0</v>
      </c>
      <c r="BS31" s="42">
        <f t="shared" si="26"/>
        <v>0</v>
      </c>
      <c r="BT31" s="42">
        <f t="shared" si="26"/>
        <v>0</v>
      </c>
      <c r="BU31" s="42">
        <f t="shared" si="26"/>
        <v>0</v>
      </c>
      <c r="BV31" s="42">
        <f t="shared" si="26"/>
        <v>0</v>
      </c>
      <c r="BW31" s="42">
        <f t="shared" si="26"/>
        <v>0</v>
      </c>
      <c r="BX31" s="42">
        <f t="shared" si="26"/>
        <v>0</v>
      </c>
      <c r="BY31" s="42">
        <f t="shared" si="26"/>
        <v>0</v>
      </c>
      <c r="BZ31" s="42">
        <f t="shared" si="27"/>
        <v>0</v>
      </c>
      <c r="CA31" s="42"/>
      <c r="CB31" s="42">
        <f t="shared" si="28"/>
        <v>0</v>
      </c>
      <c r="CC31" s="43">
        <f t="shared" si="8"/>
        <v>0.755</v>
      </c>
      <c r="CD31" s="42">
        <f t="shared" si="9"/>
        <v>7550000</v>
      </c>
      <c r="CE31" s="42"/>
      <c r="CF31" s="42">
        <f>+'[4]JULIO 2019'!$H$2589</f>
        <v>3550000</v>
      </c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>
        <f>+'[4]JULIO 2019'!$H$2585</f>
        <v>4000000</v>
      </c>
      <c r="CV31" s="42"/>
      <c r="CW31" s="42"/>
      <c r="CX31" s="42"/>
      <c r="CY31" s="42"/>
      <c r="CZ31" s="42"/>
      <c r="DA31" s="42"/>
      <c r="DB31" s="43">
        <f t="shared" si="10"/>
        <v>0.245</v>
      </c>
      <c r="DC31" s="42">
        <f t="shared" si="11"/>
        <v>2450000</v>
      </c>
      <c r="DD31" s="42">
        <f t="shared" si="29"/>
        <v>0</v>
      </c>
      <c r="DE31" s="42">
        <f t="shared" si="29"/>
        <v>2450000</v>
      </c>
      <c r="DF31" s="42">
        <f t="shared" si="29"/>
        <v>0</v>
      </c>
      <c r="DG31" s="42">
        <f t="shared" si="29"/>
        <v>0</v>
      </c>
      <c r="DH31" s="42">
        <f t="shared" si="29"/>
        <v>0</v>
      </c>
      <c r="DI31" s="42">
        <f t="shared" si="29"/>
        <v>0</v>
      </c>
      <c r="DJ31" s="42">
        <f t="shared" si="29"/>
        <v>0</v>
      </c>
      <c r="DK31" s="42">
        <f t="shared" si="29"/>
        <v>0</v>
      </c>
      <c r="DL31" s="42">
        <f t="shared" si="29"/>
        <v>0</v>
      </c>
      <c r="DM31" s="42">
        <f t="shared" si="29"/>
        <v>0</v>
      </c>
      <c r="DN31" s="42">
        <f t="shared" si="29"/>
        <v>0</v>
      </c>
      <c r="DO31" s="42">
        <f t="shared" si="29"/>
        <v>0</v>
      </c>
      <c r="DP31" s="42">
        <f t="shared" si="29"/>
        <v>0</v>
      </c>
      <c r="DQ31" s="42">
        <f t="shared" si="29"/>
        <v>0</v>
      </c>
      <c r="DR31" s="42">
        <f t="shared" si="29"/>
        <v>0</v>
      </c>
      <c r="DS31" s="42">
        <f t="shared" si="29"/>
        <v>0</v>
      </c>
      <c r="DT31" s="42">
        <f t="shared" si="30"/>
        <v>0</v>
      </c>
      <c r="DU31" s="42">
        <f t="shared" si="30"/>
        <v>0</v>
      </c>
      <c r="DV31" s="42">
        <f t="shared" si="30"/>
        <v>0</v>
      </c>
      <c r="DW31" s="42">
        <f t="shared" si="30"/>
        <v>0</v>
      </c>
      <c r="DX31" s="42">
        <f t="shared" si="30"/>
        <v>0</v>
      </c>
      <c r="DY31" s="42"/>
      <c r="DZ31" s="42">
        <f t="shared" si="31"/>
        <v>0</v>
      </c>
      <c r="EB31" s="47">
        <f t="shared" si="15"/>
        <v>10000000</v>
      </c>
      <c r="EC31" s="47">
        <f t="shared" si="16"/>
        <v>10000000</v>
      </c>
      <c r="ED31" s="47">
        <f t="shared" si="17"/>
        <v>10000000</v>
      </c>
    </row>
    <row r="32" spans="1:136" ht="28.2" hidden="1" customHeight="1" x14ac:dyDescent="0.3">
      <c r="A32" s="48"/>
      <c r="B32" s="52" t="s">
        <v>112</v>
      </c>
      <c r="C32" s="55" t="s">
        <v>113</v>
      </c>
      <c r="D32" s="50" t="s">
        <v>114</v>
      </c>
      <c r="E32" s="40">
        <v>510</v>
      </c>
      <c r="F32" s="41" t="s">
        <v>53</v>
      </c>
      <c r="G32" s="42">
        <f t="shared" si="0"/>
        <v>4000000</v>
      </c>
      <c r="H32" s="42"/>
      <c r="I32" s="42">
        <v>4000000</v>
      </c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3">
        <f t="shared" ref="AE32:AE84" si="32">+AF32/G32</f>
        <v>1</v>
      </c>
      <c r="AF32" s="42">
        <f t="shared" si="24"/>
        <v>4000000</v>
      </c>
      <c r="AG32" s="42"/>
      <c r="AH32" s="42">
        <f>+'[1]OCTUBRE 2019'!$G$3845</f>
        <v>4000000</v>
      </c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3">
        <f t="shared" si="3"/>
        <v>0</v>
      </c>
      <c r="BE32" s="42">
        <f t="shared" si="4"/>
        <v>0</v>
      </c>
      <c r="BF32" s="42">
        <f t="shared" si="25"/>
        <v>0</v>
      </c>
      <c r="BG32" s="42">
        <f t="shared" si="25"/>
        <v>0</v>
      </c>
      <c r="BH32" s="42">
        <f t="shared" si="25"/>
        <v>0</v>
      </c>
      <c r="BI32" s="42">
        <f t="shared" si="19"/>
        <v>0</v>
      </c>
      <c r="BJ32" s="42">
        <f t="shared" si="26"/>
        <v>0</v>
      </c>
      <c r="BK32" s="42">
        <f t="shared" si="26"/>
        <v>0</v>
      </c>
      <c r="BL32" s="42">
        <f t="shared" si="26"/>
        <v>0</v>
      </c>
      <c r="BM32" s="42">
        <f t="shared" si="26"/>
        <v>0</v>
      </c>
      <c r="BN32" s="42">
        <f t="shared" si="26"/>
        <v>0</v>
      </c>
      <c r="BO32" s="42">
        <f t="shared" si="26"/>
        <v>0</v>
      </c>
      <c r="BP32" s="42">
        <f t="shared" si="26"/>
        <v>0</v>
      </c>
      <c r="BQ32" s="42">
        <f t="shared" si="26"/>
        <v>0</v>
      </c>
      <c r="BR32" s="42">
        <f t="shared" si="26"/>
        <v>0</v>
      </c>
      <c r="BS32" s="42">
        <f t="shared" si="26"/>
        <v>0</v>
      </c>
      <c r="BT32" s="42">
        <f t="shared" si="26"/>
        <v>0</v>
      </c>
      <c r="BU32" s="42">
        <f t="shared" si="26"/>
        <v>0</v>
      </c>
      <c r="BV32" s="42">
        <f t="shared" si="26"/>
        <v>0</v>
      </c>
      <c r="BW32" s="42">
        <f t="shared" si="26"/>
        <v>0</v>
      </c>
      <c r="BX32" s="42">
        <f t="shared" si="26"/>
        <v>0</v>
      </c>
      <c r="BY32" s="42">
        <f t="shared" si="26"/>
        <v>0</v>
      </c>
      <c r="BZ32" s="42">
        <f t="shared" si="27"/>
        <v>0</v>
      </c>
      <c r="CA32" s="42"/>
      <c r="CB32" s="42">
        <f t="shared" si="28"/>
        <v>0</v>
      </c>
      <c r="CC32" s="43">
        <f t="shared" si="8"/>
        <v>0</v>
      </c>
      <c r="CD32" s="42">
        <f t="shared" si="9"/>
        <v>0</v>
      </c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3">
        <f t="shared" si="10"/>
        <v>1</v>
      </c>
      <c r="DC32" s="42">
        <f t="shared" si="11"/>
        <v>4000000</v>
      </c>
      <c r="DD32" s="42">
        <f t="shared" si="29"/>
        <v>0</v>
      </c>
      <c r="DE32" s="42">
        <f t="shared" si="29"/>
        <v>4000000</v>
      </c>
      <c r="DF32" s="42">
        <f t="shared" si="29"/>
        <v>0</v>
      </c>
      <c r="DG32" s="42">
        <f t="shared" si="29"/>
        <v>0</v>
      </c>
      <c r="DH32" s="42">
        <f t="shared" si="29"/>
        <v>0</v>
      </c>
      <c r="DI32" s="42">
        <f t="shared" si="29"/>
        <v>0</v>
      </c>
      <c r="DJ32" s="42">
        <f t="shared" si="29"/>
        <v>0</v>
      </c>
      <c r="DK32" s="42">
        <f t="shared" si="29"/>
        <v>0</v>
      </c>
      <c r="DL32" s="42">
        <f t="shared" si="29"/>
        <v>0</v>
      </c>
      <c r="DM32" s="42">
        <f t="shared" si="29"/>
        <v>0</v>
      </c>
      <c r="DN32" s="42">
        <f t="shared" si="29"/>
        <v>0</v>
      </c>
      <c r="DO32" s="42">
        <f t="shared" si="29"/>
        <v>0</v>
      </c>
      <c r="DP32" s="42">
        <f t="shared" si="29"/>
        <v>0</v>
      </c>
      <c r="DQ32" s="42">
        <f t="shared" si="29"/>
        <v>0</v>
      </c>
      <c r="DR32" s="42">
        <f t="shared" si="29"/>
        <v>0</v>
      </c>
      <c r="DS32" s="42">
        <f t="shared" si="29"/>
        <v>0</v>
      </c>
      <c r="DT32" s="42">
        <f t="shared" si="30"/>
        <v>0</v>
      </c>
      <c r="DU32" s="42">
        <f t="shared" si="30"/>
        <v>0</v>
      </c>
      <c r="DV32" s="42">
        <f t="shared" si="30"/>
        <v>0</v>
      </c>
      <c r="DW32" s="42">
        <f t="shared" si="30"/>
        <v>0</v>
      </c>
      <c r="DX32" s="42">
        <f t="shared" si="30"/>
        <v>0</v>
      </c>
      <c r="DY32" s="42"/>
      <c r="DZ32" s="42">
        <f t="shared" si="31"/>
        <v>0</v>
      </c>
      <c r="EB32" s="47">
        <f t="shared" si="15"/>
        <v>4000000</v>
      </c>
      <c r="EC32" s="47">
        <f t="shared" si="16"/>
        <v>4000000</v>
      </c>
      <c r="ED32" s="47">
        <f t="shared" si="17"/>
        <v>4000000</v>
      </c>
      <c r="EE32" s="47"/>
    </row>
    <row r="33" spans="1:141" ht="30" hidden="1" customHeight="1" x14ac:dyDescent="0.3">
      <c r="A33" s="48"/>
      <c r="B33" s="52"/>
      <c r="C33" s="55" t="s">
        <v>115</v>
      </c>
      <c r="D33" s="50" t="s">
        <v>116</v>
      </c>
      <c r="E33" s="40">
        <v>510</v>
      </c>
      <c r="F33" s="41" t="s">
        <v>117</v>
      </c>
      <c r="G33" s="42">
        <f t="shared" si="0"/>
        <v>82200000</v>
      </c>
      <c r="H33" s="42"/>
      <c r="I33" s="42">
        <v>75000000</v>
      </c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>
        <f>3200000+4000000</f>
        <v>7200000</v>
      </c>
      <c r="AE33" s="43">
        <f t="shared" si="32"/>
        <v>1</v>
      </c>
      <c r="AF33" s="42">
        <f t="shared" si="24"/>
        <v>82200000</v>
      </c>
      <c r="AG33" s="42"/>
      <c r="AH33" s="42">
        <f>+'[10]ENERO 2019'!$K$943</f>
        <v>75000000</v>
      </c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>
        <f>+'[4]JULIO 2019'!$AF$2604</f>
        <v>7200000</v>
      </c>
      <c r="BD33" s="43">
        <f t="shared" si="3"/>
        <v>0</v>
      </c>
      <c r="BE33" s="42">
        <f t="shared" si="4"/>
        <v>0</v>
      </c>
      <c r="BF33" s="42">
        <f t="shared" si="25"/>
        <v>0</v>
      </c>
      <c r="BG33" s="42">
        <f t="shared" si="25"/>
        <v>0</v>
      </c>
      <c r="BH33" s="42">
        <f t="shared" si="25"/>
        <v>0</v>
      </c>
      <c r="BI33" s="42">
        <f t="shared" si="19"/>
        <v>0</v>
      </c>
      <c r="BJ33" s="42">
        <f t="shared" si="26"/>
        <v>0</v>
      </c>
      <c r="BK33" s="42">
        <f t="shared" si="26"/>
        <v>0</v>
      </c>
      <c r="BL33" s="42">
        <f t="shared" si="26"/>
        <v>0</v>
      </c>
      <c r="BM33" s="42">
        <f t="shared" si="26"/>
        <v>0</v>
      </c>
      <c r="BN33" s="42">
        <f t="shared" si="26"/>
        <v>0</v>
      </c>
      <c r="BO33" s="42">
        <f t="shared" si="26"/>
        <v>0</v>
      </c>
      <c r="BP33" s="42">
        <f t="shared" si="26"/>
        <v>0</v>
      </c>
      <c r="BQ33" s="42">
        <f t="shared" si="26"/>
        <v>0</v>
      </c>
      <c r="BR33" s="42">
        <f t="shared" si="26"/>
        <v>0</v>
      </c>
      <c r="BS33" s="42">
        <f t="shared" si="26"/>
        <v>0</v>
      </c>
      <c r="BT33" s="42">
        <f t="shared" si="26"/>
        <v>0</v>
      </c>
      <c r="BU33" s="42">
        <f t="shared" si="26"/>
        <v>0</v>
      </c>
      <c r="BV33" s="42">
        <f t="shared" si="26"/>
        <v>0</v>
      </c>
      <c r="BW33" s="42">
        <f t="shared" si="26"/>
        <v>0</v>
      </c>
      <c r="BX33" s="42">
        <f t="shared" si="26"/>
        <v>0</v>
      </c>
      <c r="BY33" s="42">
        <f t="shared" ref="BY33:BY39" si="33">AA33-AZ33</f>
        <v>0</v>
      </c>
      <c r="BZ33" s="42">
        <f t="shared" si="27"/>
        <v>0</v>
      </c>
      <c r="CA33" s="42"/>
      <c r="CB33" s="42">
        <f t="shared" si="28"/>
        <v>0</v>
      </c>
      <c r="CC33" s="43">
        <f t="shared" si="8"/>
        <v>0.97037478102189778</v>
      </c>
      <c r="CD33" s="42">
        <f t="shared" si="9"/>
        <v>79764807</v>
      </c>
      <c r="CE33" s="42"/>
      <c r="CF33" s="42">
        <f>+'[3]NOVIEMBRE 2019'!$H$4284</f>
        <v>74364807</v>
      </c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>
        <f>+'[8]AGOSTO 2019'!$H$2972+'[8]AGOSTO 2019'!$H$2977+'[8]AGOSTO 2019'!$H$2983</f>
        <v>5400000</v>
      </c>
      <c r="DB33" s="43">
        <f t="shared" si="10"/>
        <v>2.9625218978102219E-2</v>
      </c>
      <c r="DC33" s="42">
        <f t="shared" si="11"/>
        <v>2435193</v>
      </c>
      <c r="DD33" s="42">
        <f t="shared" si="29"/>
        <v>0</v>
      </c>
      <c r="DE33" s="42">
        <f t="shared" si="29"/>
        <v>635193</v>
      </c>
      <c r="DF33" s="42">
        <f t="shared" si="29"/>
        <v>0</v>
      </c>
      <c r="DG33" s="42">
        <f t="shared" si="29"/>
        <v>0</v>
      </c>
      <c r="DH33" s="42">
        <f t="shared" si="29"/>
        <v>0</v>
      </c>
      <c r="DI33" s="42">
        <f t="shared" si="29"/>
        <v>0</v>
      </c>
      <c r="DJ33" s="42">
        <f t="shared" si="29"/>
        <v>0</v>
      </c>
      <c r="DK33" s="42">
        <f t="shared" si="29"/>
        <v>0</v>
      </c>
      <c r="DL33" s="42">
        <f t="shared" si="29"/>
        <v>0</v>
      </c>
      <c r="DM33" s="42">
        <f t="shared" si="29"/>
        <v>0</v>
      </c>
      <c r="DN33" s="42">
        <f t="shared" si="29"/>
        <v>0</v>
      </c>
      <c r="DO33" s="42">
        <f t="shared" si="29"/>
        <v>0</v>
      </c>
      <c r="DP33" s="42">
        <f t="shared" si="29"/>
        <v>0</v>
      </c>
      <c r="DQ33" s="42">
        <f t="shared" si="29"/>
        <v>0</v>
      </c>
      <c r="DR33" s="42">
        <f t="shared" si="29"/>
        <v>0</v>
      </c>
      <c r="DS33" s="42">
        <f t="shared" si="29"/>
        <v>0</v>
      </c>
      <c r="DT33" s="42">
        <f t="shared" si="30"/>
        <v>0</v>
      </c>
      <c r="DU33" s="42">
        <f t="shared" si="30"/>
        <v>0</v>
      </c>
      <c r="DV33" s="42">
        <f t="shared" si="30"/>
        <v>0</v>
      </c>
      <c r="DW33" s="42">
        <f t="shared" si="30"/>
        <v>0</v>
      </c>
      <c r="DX33" s="42">
        <f t="shared" si="30"/>
        <v>0</v>
      </c>
      <c r="DY33" s="42"/>
      <c r="DZ33" s="42">
        <f t="shared" si="31"/>
        <v>1800000</v>
      </c>
      <c r="EB33" s="47">
        <f t="shared" si="15"/>
        <v>82200000</v>
      </c>
      <c r="EC33" s="47">
        <f t="shared" si="16"/>
        <v>82200000</v>
      </c>
      <c r="ED33" s="47">
        <f t="shared" si="17"/>
        <v>82200000</v>
      </c>
    </row>
    <row r="34" spans="1:141" ht="22.8" hidden="1" customHeight="1" x14ac:dyDescent="0.3">
      <c r="A34" s="48"/>
      <c r="B34" s="61" t="s">
        <v>118</v>
      </c>
      <c r="C34" s="38" t="s">
        <v>119</v>
      </c>
      <c r="D34" s="39" t="s">
        <v>120</v>
      </c>
      <c r="E34" s="40">
        <v>510</v>
      </c>
      <c r="F34" s="41" t="s">
        <v>53</v>
      </c>
      <c r="G34" s="42">
        <f t="shared" si="0"/>
        <v>5000000</v>
      </c>
      <c r="H34" s="42"/>
      <c r="I34" s="42">
        <f>12000000-7000000</f>
        <v>5000000</v>
      </c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>
        <f>7000000-7000000</f>
        <v>0</v>
      </c>
      <c r="Z34" s="42"/>
      <c r="AA34" s="42"/>
      <c r="AB34" s="42"/>
      <c r="AC34" s="42"/>
      <c r="AD34" s="42"/>
      <c r="AE34" s="43">
        <f t="shared" si="32"/>
        <v>0.76508600000000004</v>
      </c>
      <c r="AF34" s="42">
        <f t="shared" si="24"/>
        <v>3825430</v>
      </c>
      <c r="AG34" s="42"/>
      <c r="AH34" s="42">
        <f>+'[3]NOVIEMBRE 2019'!$K$4336</f>
        <v>3825430</v>
      </c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3">
        <f t="shared" si="3"/>
        <v>0.23491399999999996</v>
      </c>
      <c r="BE34" s="42">
        <f t="shared" si="4"/>
        <v>1174570</v>
      </c>
      <c r="BF34" s="42">
        <f t="shared" si="25"/>
        <v>0</v>
      </c>
      <c r="BG34" s="42">
        <f t="shared" si="25"/>
        <v>1174570</v>
      </c>
      <c r="BH34" s="42">
        <f t="shared" si="25"/>
        <v>0</v>
      </c>
      <c r="BI34" s="42">
        <f t="shared" si="19"/>
        <v>0</v>
      </c>
      <c r="BJ34" s="42">
        <f t="shared" ref="BJ34:BX39" si="34">L34-AK34</f>
        <v>0</v>
      </c>
      <c r="BK34" s="42">
        <f t="shared" si="34"/>
        <v>0</v>
      </c>
      <c r="BL34" s="42">
        <f t="shared" si="34"/>
        <v>0</v>
      </c>
      <c r="BM34" s="42">
        <f t="shared" si="34"/>
        <v>0</v>
      </c>
      <c r="BN34" s="42">
        <f t="shared" si="34"/>
        <v>0</v>
      </c>
      <c r="BO34" s="42">
        <f t="shared" si="34"/>
        <v>0</v>
      </c>
      <c r="BP34" s="42">
        <f t="shared" si="34"/>
        <v>0</v>
      </c>
      <c r="BQ34" s="42">
        <f t="shared" si="34"/>
        <v>0</v>
      </c>
      <c r="BR34" s="42">
        <f t="shared" si="34"/>
        <v>0</v>
      </c>
      <c r="BS34" s="42">
        <f t="shared" si="34"/>
        <v>0</v>
      </c>
      <c r="BT34" s="42">
        <f t="shared" si="34"/>
        <v>0</v>
      </c>
      <c r="BU34" s="42">
        <f t="shared" si="34"/>
        <v>0</v>
      </c>
      <c r="BV34" s="42">
        <f t="shared" si="34"/>
        <v>0</v>
      </c>
      <c r="BW34" s="42">
        <f t="shared" si="34"/>
        <v>0</v>
      </c>
      <c r="BX34" s="42">
        <f t="shared" si="34"/>
        <v>0</v>
      </c>
      <c r="BY34" s="42">
        <f t="shared" si="33"/>
        <v>0</v>
      </c>
      <c r="BZ34" s="42">
        <f t="shared" si="27"/>
        <v>0</v>
      </c>
      <c r="CA34" s="42"/>
      <c r="CB34" s="42">
        <f t="shared" si="28"/>
        <v>0</v>
      </c>
      <c r="CC34" s="43">
        <f t="shared" si="8"/>
        <v>0.76508600000000004</v>
      </c>
      <c r="CD34" s="42">
        <f t="shared" si="9"/>
        <v>3825430</v>
      </c>
      <c r="CE34" s="42"/>
      <c r="CF34" s="42">
        <f>+'[1]OCTUBRE 2019'!$H$3905</f>
        <v>3825430</v>
      </c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3">
        <f t="shared" si="10"/>
        <v>0.23491399999999996</v>
      </c>
      <c r="DC34" s="42">
        <f t="shared" si="11"/>
        <v>1174570</v>
      </c>
      <c r="DD34" s="42">
        <f t="shared" si="29"/>
        <v>0</v>
      </c>
      <c r="DE34" s="42">
        <f t="shared" si="29"/>
        <v>1174570</v>
      </c>
      <c r="DF34" s="42">
        <f t="shared" si="29"/>
        <v>0</v>
      </c>
      <c r="DG34" s="42">
        <f t="shared" si="29"/>
        <v>0</v>
      </c>
      <c r="DH34" s="42">
        <f t="shared" si="29"/>
        <v>0</v>
      </c>
      <c r="DI34" s="42">
        <f t="shared" si="29"/>
        <v>0</v>
      </c>
      <c r="DJ34" s="42">
        <f t="shared" si="29"/>
        <v>0</v>
      </c>
      <c r="DK34" s="42">
        <f t="shared" si="29"/>
        <v>0</v>
      </c>
      <c r="DL34" s="42">
        <f t="shared" si="29"/>
        <v>0</v>
      </c>
      <c r="DM34" s="42">
        <f t="shared" si="29"/>
        <v>0</v>
      </c>
      <c r="DN34" s="42">
        <f t="shared" si="29"/>
        <v>0</v>
      </c>
      <c r="DO34" s="42">
        <f t="shared" si="29"/>
        <v>0</v>
      </c>
      <c r="DP34" s="42">
        <f t="shared" si="29"/>
        <v>0</v>
      </c>
      <c r="DQ34" s="42">
        <f t="shared" si="29"/>
        <v>0</v>
      </c>
      <c r="DR34" s="42">
        <f t="shared" si="29"/>
        <v>0</v>
      </c>
      <c r="DS34" s="42">
        <f t="shared" si="29"/>
        <v>0</v>
      </c>
      <c r="DT34" s="42">
        <f t="shared" si="30"/>
        <v>0</v>
      </c>
      <c r="DU34" s="42">
        <f t="shared" si="30"/>
        <v>0</v>
      </c>
      <c r="DV34" s="42">
        <f t="shared" si="30"/>
        <v>0</v>
      </c>
      <c r="DW34" s="42">
        <f t="shared" si="30"/>
        <v>0</v>
      </c>
      <c r="DX34" s="42">
        <f t="shared" si="30"/>
        <v>0</v>
      </c>
      <c r="DY34" s="42"/>
      <c r="DZ34" s="42">
        <f t="shared" si="31"/>
        <v>0</v>
      </c>
      <c r="EB34" s="47">
        <f t="shared" si="15"/>
        <v>5000000</v>
      </c>
      <c r="EC34" s="47">
        <f t="shared" si="16"/>
        <v>5000000</v>
      </c>
      <c r="ED34" s="47">
        <f t="shared" si="17"/>
        <v>5000000</v>
      </c>
    </row>
    <row r="35" spans="1:141" ht="19.2" hidden="1" customHeight="1" x14ac:dyDescent="0.3">
      <c r="A35" s="48"/>
      <c r="B35" s="62"/>
      <c r="C35" s="38" t="s">
        <v>121</v>
      </c>
      <c r="D35" s="39" t="s">
        <v>122</v>
      </c>
      <c r="E35" s="40">
        <v>510</v>
      </c>
      <c r="F35" s="41" t="s">
        <v>123</v>
      </c>
      <c r="G35" s="42">
        <f t="shared" si="0"/>
        <v>136500000</v>
      </c>
      <c r="H35" s="42"/>
      <c r="I35" s="42">
        <f>25000000+7000000</f>
        <v>32000000</v>
      </c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>
        <v>25000000</v>
      </c>
      <c r="Y35" s="42">
        <f>18000000+7000000</f>
        <v>25000000</v>
      </c>
      <c r="Z35" s="42"/>
      <c r="AA35" s="42"/>
      <c r="AB35" s="42"/>
      <c r="AC35" s="42"/>
      <c r="AD35" s="42">
        <f>34000000+20000000+500000</f>
        <v>54500000</v>
      </c>
      <c r="AE35" s="43">
        <f t="shared" si="32"/>
        <v>0.92139340659340663</v>
      </c>
      <c r="AF35" s="42">
        <f t="shared" si="24"/>
        <v>125770200</v>
      </c>
      <c r="AG35" s="42"/>
      <c r="AH35" s="42">
        <f>+'[1]OCTUBRE 2019'!$K$3914</f>
        <v>31920200</v>
      </c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>
        <f>+'[4]JULIO 2019'!$Y$2648</f>
        <v>25000000</v>
      </c>
      <c r="AX35" s="42">
        <f>+'[3]NOVIEMBRE 2019'!$AA$4343</f>
        <v>25000000</v>
      </c>
      <c r="AY35" s="42"/>
      <c r="AZ35" s="42"/>
      <c r="BA35" s="42"/>
      <c r="BB35" s="42"/>
      <c r="BC35" s="42">
        <f>+'[3]NOVIEMBRE 2019'!$AG$4343</f>
        <v>43850000</v>
      </c>
      <c r="BD35" s="43">
        <f t="shared" si="3"/>
        <v>7.8606593406593372E-2</v>
      </c>
      <c r="BE35" s="42">
        <f t="shared" si="4"/>
        <v>10729800</v>
      </c>
      <c r="BF35" s="42">
        <f t="shared" si="25"/>
        <v>0</v>
      </c>
      <c r="BG35" s="42">
        <f t="shared" si="25"/>
        <v>79800</v>
      </c>
      <c r="BH35" s="42">
        <f t="shared" si="25"/>
        <v>0</v>
      </c>
      <c r="BI35" s="42">
        <f t="shared" si="19"/>
        <v>0</v>
      </c>
      <c r="BJ35" s="42">
        <f t="shared" si="34"/>
        <v>0</v>
      </c>
      <c r="BK35" s="42">
        <f t="shared" si="34"/>
        <v>0</v>
      </c>
      <c r="BL35" s="42">
        <f t="shared" si="34"/>
        <v>0</v>
      </c>
      <c r="BM35" s="42">
        <f t="shared" si="34"/>
        <v>0</v>
      </c>
      <c r="BN35" s="42">
        <f t="shared" si="34"/>
        <v>0</v>
      </c>
      <c r="BO35" s="42">
        <f t="shared" si="34"/>
        <v>0</v>
      </c>
      <c r="BP35" s="42">
        <f t="shared" si="34"/>
        <v>0</v>
      </c>
      <c r="BQ35" s="42">
        <f t="shared" si="34"/>
        <v>0</v>
      </c>
      <c r="BR35" s="42">
        <f t="shared" si="34"/>
        <v>0</v>
      </c>
      <c r="BS35" s="42">
        <f t="shared" si="34"/>
        <v>0</v>
      </c>
      <c r="BT35" s="42">
        <f t="shared" si="34"/>
        <v>0</v>
      </c>
      <c r="BU35" s="42">
        <f t="shared" si="34"/>
        <v>0</v>
      </c>
      <c r="BV35" s="42">
        <f t="shared" si="34"/>
        <v>0</v>
      </c>
      <c r="BW35" s="42">
        <f t="shared" si="34"/>
        <v>0</v>
      </c>
      <c r="BX35" s="42">
        <f t="shared" si="34"/>
        <v>0</v>
      </c>
      <c r="BY35" s="42">
        <f t="shared" si="33"/>
        <v>0</v>
      </c>
      <c r="BZ35" s="42">
        <f t="shared" si="27"/>
        <v>0</v>
      </c>
      <c r="CA35" s="42"/>
      <c r="CB35" s="42">
        <f t="shared" si="28"/>
        <v>10650000</v>
      </c>
      <c r="CC35" s="43">
        <f t="shared" si="8"/>
        <v>0.84984682051282057</v>
      </c>
      <c r="CD35" s="42">
        <f t="shared" si="9"/>
        <v>116004091</v>
      </c>
      <c r="CE35" s="42"/>
      <c r="CF35" s="42">
        <f>+'[3]NOVIEMBRE 2019'!$H$4344+'[3]NOVIEMBRE 2019'!$H$4356+'[3]NOVIEMBRE 2019'!$H$4358+'[3]NOVIEMBRE 2019'!$H$4359+'[3]NOVIEMBRE 2019'!$H$4360+'[3]NOVIEMBRE 2019'!$H$4367</f>
        <v>31920200</v>
      </c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>
        <f>+'[3]NOVIEMBRE 2019'!$H$4370+'[3]NOVIEMBRE 2019'!$Z$4376</f>
        <v>25000000</v>
      </c>
      <c r="CV35" s="42">
        <f>+'[3]NOVIEMBRE 2019'!$AA$4376-'[3]NOVIEMBRE 2019'!$I$4376+'[3]NOVIEMBRE 2019'!$H$4383+'[3]NOVIEMBRE 2019'!$H$4387+'[3]NOVIEMBRE 2019'!$H$4403</f>
        <v>15603891</v>
      </c>
      <c r="CW35" s="42"/>
      <c r="CX35" s="42"/>
      <c r="CY35" s="42"/>
      <c r="CZ35" s="42"/>
      <c r="DA35" s="42">
        <f>+'[3]NOVIEMBRE 2019'!$H$4349+'[3]NOVIEMBRE 2019'!$H$4365+'[3]NOVIEMBRE 2019'!$H$4368+'[3]NOVIEMBRE 2019'!$H$4390+'[3]NOVIEMBRE 2019'!$H$4393+'[3]NOVIEMBRE 2019'!$H$4397+'[3]NOVIEMBRE 2019'!$H$4400+'[3]NOVIEMBRE 2019'!$H$4406</f>
        <v>43480000</v>
      </c>
      <c r="DB35" s="43">
        <f t="shared" si="10"/>
        <v>0.15015317948717943</v>
      </c>
      <c r="DC35" s="42">
        <f t="shared" si="11"/>
        <v>20495909</v>
      </c>
      <c r="DD35" s="42">
        <f t="shared" si="29"/>
        <v>0</v>
      </c>
      <c r="DE35" s="42">
        <f t="shared" si="29"/>
        <v>79800</v>
      </c>
      <c r="DF35" s="42">
        <f t="shared" si="29"/>
        <v>0</v>
      </c>
      <c r="DG35" s="42">
        <f t="shared" si="29"/>
        <v>0</v>
      </c>
      <c r="DH35" s="42">
        <f t="shared" si="29"/>
        <v>0</v>
      </c>
      <c r="DI35" s="42">
        <f t="shared" si="29"/>
        <v>0</v>
      </c>
      <c r="DJ35" s="42">
        <f t="shared" si="29"/>
        <v>0</v>
      </c>
      <c r="DK35" s="42">
        <f t="shared" si="29"/>
        <v>0</v>
      </c>
      <c r="DL35" s="42">
        <f t="shared" si="29"/>
        <v>0</v>
      </c>
      <c r="DM35" s="42">
        <f t="shared" si="29"/>
        <v>0</v>
      </c>
      <c r="DN35" s="42">
        <f t="shared" si="29"/>
        <v>0</v>
      </c>
      <c r="DO35" s="42">
        <f t="shared" si="29"/>
        <v>0</v>
      </c>
      <c r="DP35" s="42">
        <f t="shared" si="29"/>
        <v>0</v>
      </c>
      <c r="DQ35" s="42">
        <f t="shared" si="29"/>
        <v>0</v>
      </c>
      <c r="DR35" s="42">
        <f t="shared" si="29"/>
        <v>0</v>
      </c>
      <c r="DS35" s="42">
        <f t="shared" si="29"/>
        <v>0</v>
      </c>
      <c r="DT35" s="42">
        <f t="shared" si="30"/>
        <v>0</v>
      </c>
      <c r="DU35" s="42">
        <f t="shared" si="30"/>
        <v>9396109</v>
      </c>
      <c r="DV35" s="42">
        <f t="shared" si="30"/>
        <v>0</v>
      </c>
      <c r="DW35" s="42">
        <f t="shared" si="30"/>
        <v>0</v>
      </c>
      <c r="DX35" s="42">
        <f t="shared" si="30"/>
        <v>0</v>
      </c>
      <c r="DY35" s="42"/>
      <c r="DZ35" s="42">
        <f t="shared" si="31"/>
        <v>11020000</v>
      </c>
      <c r="EB35" s="47">
        <f t="shared" si="15"/>
        <v>136500000</v>
      </c>
      <c r="EC35" s="47">
        <f t="shared" si="16"/>
        <v>136500000</v>
      </c>
      <c r="ED35" s="47">
        <f t="shared" si="17"/>
        <v>136500000</v>
      </c>
    </row>
    <row r="36" spans="1:141" ht="21.6" hidden="1" customHeight="1" x14ac:dyDescent="0.3">
      <c r="A36" s="48"/>
      <c r="B36" s="65" t="s">
        <v>124</v>
      </c>
      <c r="C36" s="38" t="s">
        <v>125</v>
      </c>
      <c r="D36" s="39" t="s">
        <v>126</v>
      </c>
      <c r="E36" s="40">
        <v>211</v>
      </c>
      <c r="F36" s="41" t="s">
        <v>127</v>
      </c>
      <c r="G36" s="42">
        <f t="shared" si="0"/>
        <v>1014978084</v>
      </c>
      <c r="H36" s="42"/>
      <c r="I36" s="42"/>
      <c r="J36" s="42"/>
      <c r="K36" s="42"/>
      <c r="L36" s="42"/>
      <c r="M36" s="42"/>
      <c r="N36" s="42">
        <v>244096406</v>
      </c>
      <c r="O36" s="42">
        <v>300000000</v>
      </c>
      <c r="P36" s="42">
        <f>20000000+30000000</f>
        <v>50000000</v>
      </c>
      <c r="Q36" s="42"/>
      <c r="R36" s="42">
        <v>40000000</v>
      </c>
      <c r="S36" s="42"/>
      <c r="T36" s="42"/>
      <c r="U36" s="42">
        <f>40000000+11586236</f>
        <v>51586236</v>
      </c>
      <c r="V36" s="42"/>
      <c r="W36" s="42">
        <v>30000000</v>
      </c>
      <c r="X36" s="42"/>
      <c r="Y36" s="42"/>
      <c r="Z36" s="42"/>
      <c r="AA36" s="42"/>
      <c r="AB36" s="42"/>
      <c r="AC36" s="42"/>
      <c r="AD36" s="42">
        <f>181433693+21979601+51331966+5478895+35000000+4071287</f>
        <v>299295442</v>
      </c>
      <c r="AE36" s="43">
        <f t="shared" si="32"/>
        <v>0.88311310670625276</v>
      </c>
      <c r="AF36" s="42">
        <f t="shared" si="24"/>
        <v>896340449</v>
      </c>
      <c r="AG36" s="42"/>
      <c r="AH36" s="42"/>
      <c r="AI36" s="42"/>
      <c r="AJ36" s="42"/>
      <c r="AK36" s="42"/>
      <c r="AL36" s="42"/>
      <c r="AM36" s="42">
        <f>+'[3]NOVIEMBRE 2019'!$P$572</f>
        <v>244096406</v>
      </c>
      <c r="AN36" s="42">
        <f>+'[6]MARZO 2019'!$P$138</f>
        <v>300000000</v>
      </c>
      <c r="AO36" s="42">
        <f>+'[3]NOVIEMBRE 2019'!$R$572</f>
        <v>50000000</v>
      </c>
      <c r="AP36" s="42"/>
      <c r="AQ36" s="42">
        <f>+'[3]NOVIEMBRE 2019'!$T$572</f>
        <v>40000000</v>
      </c>
      <c r="AR36" s="42"/>
      <c r="AS36" s="42"/>
      <c r="AT36" s="42"/>
      <c r="AU36" s="42"/>
      <c r="AV36" s="42">
        <f>+'[2]SEPTIEMBRE 2019'!$Y$443</f>
        <v>30000000</v>
      </c>
      <c r="AW36" s="42"/>
      <c r="AX36" s="42"/>
      <c r="AY36" s="42"/>
      <c r="AZ36" s="42"/>
      <c r="BA36" s="42"/>
      <c r="BB36" s="42"/>
      <c r="BC36" s="42">
        <f>+'[2]SEPTIEMBRE 2019'!$AG$443</f>
        <v>232244043</v>
      </c>
      <c r="BD36" s="43">
        <f t="shared" si="3"/>
        <v>0.11688689329374724</v>
      </c>
      <c r="BE36" s="42">
        <f t="shared" si="4"/>
        <v>118637635</v>
      </c>
      <c r="BF36" s="42">
        <f t="shared" si="25"/>
        <v>0</v>
      </c>
      <c r="BG36" s="42">
        <f t="shared" si="25"/>
        <v>0</v>
      </c>
      <c r="BH36" s="42">
        <f t="shared" si="25"/>
        <v>0</v>
      </c>
      <c r="BI36" s="42">
        <f t="shared" si="19"/>
        <v>0</v>
      </c>
      <c r="BJ36" s="42">
        <f t="shared" si="34"/>
        <v>0</v>
      </c>
      <c r="BK36" s="42">
        <f t="shared" si="34"/>
        <v>0</v>
      </c>
      <c r="BL36" s="42">
        <f t="shared" si="34"/>
        <v>0</v>
      </c>
      <c r="BM36" s="42">
        <f t="shared" si="34"/>
        <v>0</v>
      </c>
      <c r="BN36" s="42">
        <f t="shared" si="34"/>
        <v>0</v>
      </c>
      <c r="BO36" s="42">
        <f t="shared" si="34"/>
        <v>0</v>
      </c>
      <c r="BP36" s="42">
        <f t="shared" si="34"/>
        <v>0</v>
      </c>
      <c r="BQ36" s="42">
        <f t="shared" si="34"/>
        <v>0</v>
      </c>
      <c r="BR36" s="42">
        <f t="shared" si="34"/>
        <v>0</v>
      </c>
      <c r="BS36" s="42">
        <f t="shared" si="34"/>
        <v>51586236</v>
      </c>
      <c r="BT36" s="42">
        <f t="shared" si="34"/>
        <v>0</v>
      </c>
      <c r="BU36" s="42">
        <f t="shared" si="34"/>
        <v>0</v>
      </c>
      <c r="BV36" s="42">
        <f t="shared" si="34"/>
        <v>0</v>
      </c>
      <c r="BW36" s="42">
        <f t="shared" si="34"/>
        <v>0</v>
      </c>
      <c r="BX36" s="42">
        <f t="shared" si="34"/>
        <v>0</v>
      </c>
      <c r="BY36" s="42">
        <f t="shared" si="33"/>
        <v>0</v>
      </c>
      <c r="BZ36" s="42">
        <f t="shared" si="27"/>
        <v>0</v>
      </c>
      <c r="CA36" s="42"/>
      <c r="CB36" s="42">
        <f t="shared" si="28"/>
        <v>67051399</v>
      </c>
      <c r="CC36" s="43">
        <f t="shared" si="8"/>
        <v>0.78072269390991111</v>
      </c>
      <c r="CD36" s="42">
        <f t="shared" si="9"/>
        <v>792416424</v>
      </c>
      <c r="CE36" s="42"/>
      <c r="CF36" s="42"/>
      <c r="CG36" s="42"/>
      <c r="CH36" s="42"/>
      <c r="CI36" s="42"/>
      <c r="CJ36" s="42"/>
      <c r="CK36" s="42">
        <f>+'[3]NOVIEMBRE 2019'!$H$578+'[3]NOVIEMBRE 2019'!$H$607</f>
        <v>236438964</v>
      </c>
      <c r="CL36" s="42">
        <f>+'[11]ABRIL 2019'!$H$163</f>
        <v>300000000</v>
      </c>
      <c r="CM36" s="42"/>
      <c r="CN36" s="42"/>
      <c r="CO36" s="42"/>
      <c r="CP36" s="42"/>
      <c r="CQ36" s="42"/>
      <c r="CR36" s="42"/>
      <c r="CS36" s="42"/>
      <c r="CT36" s="42">
        <f>+'[5]JUNIO 2019'!$H$235</f>
        <v>27384000</v>
      </c>
      <c r="CU36" s="42"/>
      <c r="CV36" s="42"/>
      <c r="CW36" s="42"/>
      <c r="CX36" s="42"/>
      <c r="CY36" s="42"/>
      <c r="CZ36" s="42"/>
      <c r="DA36" s="42">
        <f>+'[3]NOVIEMBRE 2019'!$H$573+'[3]NOVIEMBRE 2019'!$H$582+'[3]NOVIEMBRE 2019'!$H$585+'[3]NOVIEMBRE 2019'!$H$591+'[3]NOVIEMBRE 2019'!$H$594+'[3]NOVIEMBRE 2019'!$H$597+'[3]NOVIEMBRE 2019'!$H$602+'[3]NOVIEMBRE 2019'!$H$604+'[3]NOVIEMBRE 2019'!$H$610+'[3]NOVIEMBRE 2019'!$H$619+'[3]NOVIEMBRE 2019'!$H$625+'[3]NOVIEMBRE 2019'!$H$628</f>
        <v>228593460</v>
      </c>
      <c r="DB36" s="43">
        <f t="shared" si="10"/>
        <v>0.21927730609008889</v>
      </c>
      <c r="DC36" s="42">
        <f t="shared" si="11"/>
        <v>222561660</v>
      </c>
      <c r="DD36" s="42">
        <f t="shared" si="29"/>
        <v>0</v>
      </c>
      <c r="DE36" s="42">
        <f t="shared" si="29"/>
        <v>0</v>
      </c>
      <c r="DF36" s="42">
        <f t="shared" si="29"/>
        <v>0</v>
      </c>
      <c r="DG36" s="42">
        <f t="shared" si="29"/>
        <v>0</v>
      </c>
      <c r="DH36" s="42">
        <f t="shared" si="29"/>
        <v>0</v>
      </c>
      <c r="DI36" s="42">
        <f t="shared" si="29"/>
        <v>0</v>
      </c>
      <c r="DJ36" s="42">
        <f t="shared" ref="DJ36:DS39" si="35">N36-CK36</f>
        <v>7657442</v>
      </c>
      <c r="DK36" s="42">
        <f t="shared" si="35"/>
        <v>0</v>
      </c>
      <c r="DL36" s="42">
        <f t="shared" si="35"/>
        <v>50000000</v>
      </c>
      <c r="DM36" s="42">
        <f t="shared" si="35"/>
        <v>0</v>
      </c>
      <c r="DN36" s="42">
        <f t="shared" si="35"/>
        <v>40000000</v>
      </c>
      <c r="DO36" s="42">
        <f t="shared" si="35"/>
        <v>0</v>
      </c>
      <c r="DP36" s="42">
        <f t="shared" si="35"/>
        <v>0</v>
      </c>
      <c r="DQ36" s="42">
        <f t="shared" si="35"/>
        <v>51586236</v>
      </c>
      <c r="DR36" s="42">
        <f t="shared" si="35"/>
        <v>0</v>
      </c>
      <c r="DS36" s="42">
        <f t="shared" si="35"/>
        <v>2616000</v>
      </c>
      <c r="DT36" s="42">
        <f t="shared" si="30"/>
        <v>0</v>
      </c>
      <c r="DU36" s="42">
        <f t="shared" si="30"/>
        <v>0</v>
      </c>
      <c r="DV36" s="42">
        <f t="shared" si="30"/>
        <v>0</v>
      </c>
      <c r="DW36" s="42">
        <f t="shared" si="30"/>
        <v>0</v>
      </c>
      <c r="DX36" s="42">
        <f t="shared" si="30"/>
        <v>0</v>
      </c>
      <c r="DY36" s="42"/>
      <c r="DZ36" s="42">
        <f t="shared" si="31"/>
        <v>70701982</v>
      </c>
      <c r="EB36" s="47">
        <f t="shared" si="15"/>
        <v>1014978084</v>
      </c>
      <c r="EC36" s="47">
        <f t="shared" si="16"/>
        <v>1014978084</v>
      </c>
      <c r="ED36" s="47">
        <f t="shared" si="17"/>
        <v>1014978084</v>
      </c>
    </row>
    <row r="37" spans="1:141" ht="60" hidden="1" customHeight="1" x14ac:dyDescent="0.3">
      <c r="A37" s="48"/>
      <c r="B37" s="65"/>
      <c r="C37" s="38" t="s">
        <v>128</v>
      </c>
      <c r="D37" s="39" t="s">
        <v>129</v>
      </c>
      <c r="E37" s="40">
        <v>510</v>
      </c>
      <c r="F37" s="41" t="s">
        <v>53</v>
      </c>
      <c r="G37" s="42">
        <f t="shared" si="0"/>
        <v>5000000</v>
      </c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>
        <v>5000000</v>
      </c>
      <c r="Y37" s="42"/>
      <c r="Z37" s="42"/>
      <c r="AA37" s="42"/>
      <c r="AB37" s="42"/>
      <c r="AC37" s="42"/>
      <c r="AD37" s="42"/>
      <c r="AE37" s="43">
        <f t="shared" si="32"/>
        <v>1</v>
      </c>
      <c r="AF37" s="42">
        <f t="shared" si="24"/>
        <v>5000000</v>
      </c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>
        <f>+'[8]AGOSTO 2019'!$Y$3052</f>
        <v>5000000</v>
      </c>
      <c r="AX37" s="42"/>
      <c r="AY37" s="42"/>
      <c r="AZ37" s="42"/>
      <c r="BA37" s="42"/>
      <c r="BB37" s="42"/>
      <c r="BC37" s="42"/>
      <c r="BD37" s="43">
        <f t="shared" si="3"/>
        <v>0</v>
      </c>
      <c r="BE37" s="42">
        <f t="shared" si="4"/>
        <v>0</v>
      </c>
      <c r="BF37" s="42">
        <f t="shared" si="25"/>
        <v>0</v>
      </c>
      <c r="BG37" s="42">
        <f t="shared" si="25"/>
        <v>0</v>
      </c>
      <c r="BH37" s="42">
        <f t="shared" si="25"/>
        <v>0</v>
      </c>
      <c r="BI37" s="42">
        <f t="shared" si="19"/>
        <v>0</v>
      </c>
      <c r="BJ37" s="42">
        <f t="shared" si="34"/>
        <v>0</v>
      </c>
      <c r="BK37" s="42">
        <f t="shared" si="34"/>
        <v>0</v>
      </c>
      <c r="BL37" s="42">
        <f t="shared" si="34"/>
        <v>0</v>
      </c>
      <c r="BM37" s="42">
        <f t="shared" si="34"/>
        <v>0</v>
      </c>
      <c r="BN37" s="42">
        <f t="shared" si="34"/>
        <v>0</v>
      </c>
      <c r="BO37" s="42">
        <f t="shared" si="34"/>
        <v>0</v>
      </c>
      <c r="BP37" s="42">
        <f t="shared" si="34"/>
        <v>0</v>
      </c>
      <c r="BQ37" s="42">
        <f t="shared" si="34"/>
        <v>0</v>
      </c>
      <c r="BR37" s="42">
        <f t="shared" si="34"/>
        <v>0</v>
      </c>
      <c r="BS37" s="42">
        <f t="shared" si="34"/>
        <v>0</v>
      </c>
      <c r="BT37" s="42">
        <f t="shared" si="34"/>
        <v>0</v>
      </c>
      <c r="BU37" s="42">
        <f t="shared" si="34"/>
        <v>0</v>
      </c>
      <c r="BV37" s="42">
        <f t="shared" si="34"/>
        <v>0</v>
      </c>
      <c r="BW37" s="42">
        <f t="shared" si="34"/>
        <v>0</v>
      </c>
      <c r="BX37" s="42">
        <f t="shared" si="34"/>
        <v>0</v>
      </c>
      <c r="BY37" s="42">
        <f t="shared" si="33"/>
        <v>0</v>
      </c>
      <c r="BZ37" s="42">
        <f t="shared" si="27"/>
        <v>0</v>
      </c>
      <c r="CA37" s="42"/>
      <c r="CB37" s="42">
        <f t="shared" si="28"/>
        <v>0</v>
      </c>
      <c r="CC37" s="43">
        <f t="shared" si="8"/>
        <v>0.24466660000000001</v>
      </c>
      <c r="CD37" s="42">
        <f t="shared" si="9"/>
        <v>1223333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>
        <f>+'[3]NOVIEMBRE 2019'!$H$4416</f>
        <v>1223333</v>
      </c>
      <c r="CV37" s="42"/>
      <c r="CW37" s="42"/>
      <c r="CX37" s="42"/>
      <c r="CY37" s="42"/>
      <c r="CZ37" s="42"/>
      <c r="DA37" s="42"/>
      <c r="DB37" s="43">
        <f t="shared" si="10"/>
        <v>0.75533340000000004</v>
      </c>
      <c r="DC37" s="42">
        <f t="shared" si="11"/>
        <v>3776667</v>
      </c>
      <c r="DD37" s="42">
        <f t="shared" ref="DD37:DI39" si="36">H37-CE37</f>
        <v>0</v>
      </c>
      <c r="DE37" s="42">
        <f t="shared" si="36"/>
        <v>0</v>
      </c>
      <c r="DF37" s="42">
        <f t="shared" si="36"/>
        <v>0</v>
      </c>
      <c r="DG37" s="42">
        <f t="shared" si="36"/>
        <v>0</v>
      </c>
      <c r="DH37" s="42">
        <f t="shared" si="36"/>
        <v>0</v>
      </c>
      <c r="DI37" s="42">
        <f t="shared" si="36"/>
        <v>0</v>
      </c>
      <c r="DJ37" s="42">
        <f t="shared" si="35"/>
        <v>0</v>
      </c>
      <c r="DK37" s="42">
        <f t="shared" si="35"/>
        <v>0</v>
      </c>
      <c r="DL37" s="42">
        <f t="shared" si="35"/>
        <v>0</v>
      </c>
      <c r="DM37" s="42">
        <f t="shared" si="35"/>
        <v>0</v>
      </c>
      <c r="DN37" s="42">
        <f t="shared" si="35"/>
        <v>0</v>
      </c>
      <c r="DO37" s="42">
        <f t="shared" si="35"/>
        <v>0</v>
      </c>
      <c r="DP37" s="42">
        <f t="shared" si="35"/>
        <v>0</v>
      </c>
      <c r="DQ37" s="42">
        <f t="shared" si="35"/>
        <v>0</v>
      </c>
      <c r="DR37" s="42">
        <f t="shared" si="35"/>
        <v>0</v>
      </c>
      <c r="DS37" s="42">
        <f t="shared" si="35"/>
        <v>0</v>
      </c>
      <c r="DT37" s="42">
        <f t="shared" si="30"/>
        <v>3776667</v>
      </c>
      <c r="DU37" s="42">
        <f t="shared" si="30"/>
        <v>0</v>
      </c>
      <c r="DV37" s="42">
        <f t="shared" si="30"/>
        <v>0</v>
      </c>
      <c r="DW37" s="42">
        <f t="shared" si="30"/>
        <v>0</v>
      </c>
      <c r="DX37" s="42">
        <f t="shared" si="30"/>
        <v>0</v>
      </c>
      <c r="DY37" s="42"/>
      <c r="DZ37" s="42">
        <f t="shared" si="31"/>
        <v>0</v>
      </c>
      <c r="EB37" s="47">
        <f t="shared" si="15"/>
        <v>5000000</v>
      </c>
      <c r="EC37" s="47">
        <f t="shared" si="16"/>
        <v>5000000</v>
      </c>
      <c r="ED37" s="47">
        <f t="shared" si="17"/>
        <v>5000000</v>
      </c>
    </row>
    <row r="38" spans="1:141" ht="26.4" hidden="1" customHeight="1" x14ac:dyDescent="0.3">
      <c r="A38" s="48"/>
      <c r="B38" s="65"/>
      <c r="C38" s="38" t="s">
        <v>130</v>
      </c>
      <c r="D38" s="39" t="s">
        <v>131</v>
      </c>
      <c r="E38" s="40">
        <v>510</v>
      </c>
      <c r="F38" s="41" t="s">
        <v>53</v>
      </c>
      <c r="G38" s="42">
        <f t="shared" si="0"/>
        <v>5000000</v>
      </c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>
        <v>5000000</v>
      </c>
      <c r="Y38" s="42"/>
      <c r="Z38" s="42"/>
      <c r="AA38" s="42"/>
      <c r="AB38" s="42"/>
      <c r="AC38" s="42"/>
      <c r="AD38" s="42"/>
      <c r="AE38" s="43">
        <f t="shared" si="32"/>
        <v>1</v>
      </c>
      <c r="AF38" s="42">
        <f t="shared" si="24"/>
        <v>5000000</v>
      </c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>
        <f>+'[8]AGOSTO 2019'!$Y$3058</f>
        <v>5000000</v>
      </c>
      <c r="AX38" s="42"/>
      <c r="AY38" s="42"/>
      <c r="AZ38" s="42"/>
      <c r="BA38" s="42"/>
      <c r="BB38" s="42"/>
      <c r="BC38" s="42"/>
      <c r="BD38" s="43">
        <f t="shared" si="3"/>
        <v>0</v>
      </c>
      <c r="BE38" s="42">
        <f t="shared" si="4"/>
        <v>0</v>
      </c>
      <c r="BF38" s="42">
        <f t="shared" si="25"/>
        <v>0</v>
      </c>
      <c r="BG38" s="42">
        <f t="shared" si="25"/>
        <v>0</v>
      </c>
      <c r="BH38" s="42">
        <f t="shared" si="25"/>
        <v>0</v>
      </c>
      <c r="BI38" s="42">
        <f t="shared" si="19"/>
        <v>0</v>
      </c>
      <c r="BJ38" s="42">
        <f t="shared" si="34"/>
        <v>0</v>
      </c>
      <c r="BK38" s="42">
        <f t="shared" si="34"/>
        <v>0</v>
      </c>
      <c r="BL38" s="42">
        <f t="shared" si="34"/>
        <v>0</v>
      </c>
      <c r="BM38" s="42">
        <f t="shared" si="34"/>
        <v>0</v>
      </c>
      <c r="BN38" s="42">
        <f t="shared" si="34"/>
        <v>0</v>
      </c>
      <c r="BO38" s="42">
        <f t="shared" si="34"/>
        <v>0</v>
      </c>
      <c r="BP38" s="42">
        <f t="shared" si="34"/>
        <v>0</v>
      </c>
      <c r="BQ38" s="42">
        <f t="shared" si="34"/>
        <v>0</v>
      </c>
      <c r="BR38" s="42">
        <f t="shared" si="34"/>
        <v>0</v>
      </c>
      <c r="BS38" s="42">
        <f t="shared" si="34"/>
        <v>0</v>
      </c>
      <c r="BT38" s="42">
        <f t="shared" si="34"/>
        <v>0</v>
      </c>
      <c r="BU38" s="42">
        <f t="shared" si="34"/>
        <v>0</v>
      </c>
      <c r="BV38" s="42">
        <f t="shared" si="34"/>
        <v>0</v>
      </c>
      <c r="BW38" s="42">
        <f t="shared" si="34"/>
        <v>0</v>
      </c>
      <c r="BX38" s="42">
        <f t="shared" si="34"/>
        <v>0</v>
      </c>
      <c r="BY38" s="42">
        <f t="shared" si="33"/>
        <v>0</v>
      </c>
      <c r="BZ38" s="42">
        <f t="shared" si="27"/>
        <v>0</v>
      </c>
      <c r="CA38" s="42"/>
      <c r="CB38" s="42">
        <f t="shared" si="28"/>
        <v>0</v>
      </c>
      <c r="CC38" s="43">
        <f t="shared" si="8"/>
        <v>1</v>
      </c>
      <c r="CD38" s="42">
        <f t="shared" si="9"/>
        <v>5000000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>
        <f>+'[3]NOVIEMBRE 2019'!$H$4422</f>
        <v>5000000</v>
      </c>
      <c r="CV38" s="42"/>
      <c r="CW38" s="42"/>
      <c r="CX38" s="42"/>
      <c r="CY38" s="42"/>
      <c r="CZ38" s="42"/>
      <c r="DA38" s="42"/>
      <c r="DB38" s="43">
        <f t="shared" si="10"/>
        <v>0</v>
      </c>
      <c r="DC38" s="42">
        <f t="shared" si="11"/>
        <v>0</v>
      </c>
      <c r="DD38" s="42">
        <f t="shared" si="36"/>
        <v>0</v>
      </c>
      <c r="DE38" s="42">
        <f t="shared" si="36"/>
        <v>0</v>
      </c>
      <c r="DF38" s="42">
        <f t="shared" si="36"/>
        <v>0</v>
      </c>
      <c r="DG38" s="42">
        <f t="shared" si="36"/>
        <v>0</v>
      </c>
      <c r="DH38" s="42">
        <f t="shared" si="36"/>
        <v>0</v>
      </c>
      <c r="DI38" s="42">
        <f t="shared" si="36"/>
        <v>0</v>
      </c>
      <c r="DJ38" s="42">
        <f t="shared" si="35"/>
        <v>0</v>
      </c>
      <c r="DK38" s="42">
        <f t="shared" si="35"/>
        <v>0</v>
      </c>
      <c r="DL38" s="42">
        <f t="shared" si="35"/>
        <v>0</v>
      </c>
      <c r="DM38" s="42">
        <f t="shared" si="35"/>
        <v>0</v>
      </c>
      <c r="DN38" s="42">
        <f t="shared" si="35"/>
        <v>0</v>
      </c>
      <c r="DO38" s="42">
        <f t="shared" si="35"/>
        <v>0</v>
      </c>
      <c r="DP38" s="42">
        <f t="shared" si="35"/>
        <v>0</v>
      </c>
      <c r="DQ38" s="42">
        <f t="shared" si="35"/>
        <v>0</v>
      </c>
      <c r="DR38" s="42">
        <f t="shared" si="35"/>
        <v>0</v>
      </c>
      <c r="DS38" s="42">
        <f t="shared" si="35"/>
        <v>0</v>
      </c>
      <c r="DT38" s="42">
        <f t="shared" si="30"/>
        <v>0</v>
      </c>
      <c r="DU38" s="42">
        <f t="shared" si="30"/>
        <v>0</v>
      </c>
      <c r="DV38" s="42">
        <f t="shared" si="30"/>
        <v>0</v>
      </c>
      <c r="DW38" s="42">
        <f t="shared" si="30"/>
        <v>0</v>
      </c>
      <c r="DX38" s="42">
        <f t="shared" si="30"/>
        <v>0</v>
      </c>
      <c r="DY38" s="42"/>
      <c r="DZ38" s="42">
        <f t="shared" si="31"/>
        <v>0</v>
      </c>
      <c r="EB38" s="47">
        <f t="shared" si="15"/>
        <v>5000000</v>
      </c>
      <c r="EC38" s="47">
        <f t="shared" si="16"/>
        <v>5000000</v>
      </c>
      <c r="ED38" s="47">
        <f t="shared" si="17"/>
        <v>5000000</v>
      </c>
    </row>
    <row r="39" spans="1:141" ht="57" hidden="1" customHeight="1" x14ac:dyDescent="0.3">
      <c r="A39" s="66"/>
      <c r="B39" s="65"/>
      <c r="C39" s="38" t="s">
        <v>132</v>
      </c>
      <c r="D39" s="39" t="s">
        <v>133</v>
      </c>
      <c r="E39" s="40">
        <v>510</v>
      </c>
      <c r="F39" s="41" t="s">
        <v>53</v>
      </c>
      <c r="G39" s="42">
        <f t="shared" si="0"/>
        <v>5000000</v>
      </c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>
        <v>5000000</v>
      </c>
      <c r="Y39" s="42"/>
      <c r="Z39" s="42"/>
      <c r="AA39" s="42"/>
      <c r="AB39" s="42"/>
      <c r="AC39" s="42"/>
      <c r="AD39" s="42"/>
      <c r="AE39" s="43">
        <f t="shared" si="32"/>
        <v>1</v>
      </c>
      <c r="AF39" s="42">
        <f t="shared" si="24"/>
        <v>5000000</v>
      </c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>
        <f>+'[4]JULIO 2019'!$Y$2704</f>
        <v>5000000</v>
      </c>
      <c r="AX39" s="42"/>
      <c r="AY39" s="42"/>
      <c r="AZ39" s="42"/>
      <c r="BA39" s="42"/>
      <c r="BB39" s="42"/>
      <c r="BC39" s="42"/>
      <c r="BD39" s="43">
        <f t="shared" si="3"/>
        <v>0</v>
      </c>
      <c r="BE39" s="42">
        <f t="shared" si="4"/>
        <v>0</v>
      </c>
      <c r="BF39" s="42">
        <f t="shared" si="25"/>
        <v>0</v>
      </c>
      <c r="BG39" s="42">
        <f t="shared" si="25"/>
        <v>0</v>
      </c>
      <c r="BH39" s="42">
        <f t="shared" si="25"/>
        <v>0</v>
      </c>
      <c r="BI39" s="42">
        <f t="shared" si="19"/>
        <v>0</v>
      </c>
      <c r="BJ39" s="42">
        <f t="shared" si="34"/>
        <v>0</v>
      </c>
      <c r="BK39" s="42">
        <f t="shared" si="34"/>
        <v>0</v>
      </c>
      <c r="BL39" s="42">
        <f t="shared" si="34"/>
        <v>0</v>
      </c>
      <c r="BM39" s="42">
        <f t="shared" si="34"/>
        <v>0</v>
      </c>
      <c r="BN39" s="42">
        <f t="shared" si="34"/>
        <v>0</v>
      </c>
      <c r="BO39" s="42">
        <f t="shared" si="34"/>
        <v>0</v>
      </c>
      <c r="BP39" s="42">
        <f t="shared" si="34"/>
        <v>0</v>
      </c>
      <c r="BQ39" s="42">
        <f t="shared" si="34"/>
        <v>0</v>
      </c>
      <c r="BR39" s="42">
        <f t="shared" si="34"/>
        <v>0</v>
      </c>
      <c r="BS39" s="42">
        <f t="shared" si="34"/>
        <v>0</v>
      </c>
      <c r="BT39" s="42">
        <f t="shared" si="34"/>
        <v>0</v>
      </c>
      <c r="BU39" s="42">
        <f t="shared" si="34"/>
        <v>0</v>
      </c>
      <c r="BV39" s="42">
        <f t="shared" si="34"/>
        <v>0</v>
      </c>
      <c r="BW39" s="42">
        <f t="shared" si="34"/>
        <v>0</v>
      </c>
      <c r="BX39" s="42">
        <f t="shared" si="34"/>
        <v>0</v>
      </c>
      <c r="BY39" s="42">
        <f t="shared" si="33"/>
        <v>0</v>
      </c>
      <c r="BZ39" s="42">
        <f t="shared" si="27"/>
        <v>0</v>
      </c>
      <c r="CA39" s="42"/>
      <c r="CB39" s="42">
        <f t="shared" si="28"/>
        <v>0</v>
      </c>
      <c r="CC39" s="43">
        <f t="shared" si="8"/>
        <v>1</v>
      </c>
      <c r="CD39" s="42">
        <f t="shared" si="9"/>
        <v>5000000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>
        <f>+'[8]AGOSTO 2019'!$Y$3064</f>
        <v>5000000</v>
      </c>
      <c r="CV39" s="42"/>
      <c r="CW39" s="42"/>
      <c r="CX39" s="42"/>
      <c r="CY39" s="42"/>
      <c r="CZ39" s="42"/>
      <c r="DA39" s="42"/>
      <c r="DB39" s="43">
        <f t="shared" si="10"/>
        <v>0</v>
      </c>
      <c r="DC39" s="42">
        <f t="shared" si="11"/>
        <v>0</v>
      </c>
      <c r="DD39" s="42">
        <f t="shared" si="36"/>
        <v>0</v>
      </c>
      <c r="DE39" s="42">
        <f t="shared" si="36"/>
        <v>0</v>
      </c>
      <c r="DF39" s="42">
        <f t="shared" si="36"/>
        <v>0</v>
      </c>
      <c r="DG39" s="42">
        <f t="shared" si="36"/>
        <v>0</v>
      </c>
      <c r="DH39" s="42">
        <f t="shared" si="36"/>
        <v>0</v>
      </c>
      <c r="DI39" s="42">
        <f t="shared" si="36"/>
        <v>0</v>
      </c>
      <c r="DJ39" s="42">
        <f t="shared" si="35"/>
        <v>0</v>
      </c>
      <c r="DK39" s="42">
        <f t="shared" si="35"/>
        <v>0</v>
      </c>
      <c r="DL39" s="42">
        <f t="shared" si="35"/>
        <v>0</v>
      </c>
      <c r="DM39" s="42">
        <f t="shared" si="35"/>
        <v>0</v>
      </c>
      <c r="DN39" s="42">
        <f t="shared" si="35"/>
        <v>0</v>
      </c>
      <c r="DO39" s="42">
        <f t="shared" si="35"/>
        <v>0</v>
      </c>
      <c r="DP39" s="42">
        <f t="shared" si="35"/>
        <v>0</v>
      </c>
      <c r="DQ39" s="42">
        <f t="shared" si="35"/>
        <v>0</v>
      </c>
      <c r="DR39" s="42">
        <f t="shared" si="35"/>
        <v>0</v>
      </c>
      <c r="DS39" s="42">
        <f t="shared" si="35"/>
        <v>0</v>
      </c>
      <c r="DT39" s="42">
        <f t="shared" si="30"/>
        <v>0</v>
      </c>
      <c r="DU39" s="42">
        <f t="shared" si="30"/>
        <v>0</v>
      </c>
      <c r="DV39" s="42">
        <f t="shared" si="30"/>
        <v>0</v>
      </c>
      <c r="DW39" s="42">
        <f t="shared" si="30"/>
        <v>0</v>
      </c>
      <c r="DX39" s="42">
        <f t="shared" si="30"/>
        <v>0</v>
      </c>
      <c r="DY39" s="42"/>
      <c r="DZ39" s="42">
        <f t="shared" si="31"/>
        <v>0</v>
      </c>
      <c r="EB39" s="47">
        <f t="shared" si="15"/>
        <v>5000000</v>
      </c>
      <c r="EC39" s="47">
        <f t="shared" si="16"/>
        <v>5000000</v>
      </c>
      <c r="ED39" s="47">
        <f t="shared" si="17"/>
        <v>5000000</v>
      </c>
    </row>
    <row r="40" spans="1:141" s="73" customFormat="1" ht="17.25" customHeight="1" thickBot="1" x14ac:dyDescent="0.35">
      <c r="A40" s="67"/>
      <c r="B40" s="230" t="s">
        <v>134</v>
      </c>
      <c r="C40" s="231"/>
      <c r="D40" s="231"/>
      <c r="E40" s="232"/>
      <c r="F40" s="69"/>
      <c r="G40" s="70">
        <f t="shared" ref="G40:AD40" si="37">SUM(G5:G39)</f>
        <v>4377995649</v>
      </c>
      <c r="H40" s="70">
        <f t="shared" si="37"/>
        <v>23655791</v>
      </c>
      <c r="I40" s="70">
        <f t="shared" si="37"/>
        <v>1141800000</v>
      </c>
      <c r="J40" s="70">
        <f t="shared" si="37"/>
        <v>80644090</v>
      </c>
      <c r="K40" s="70">
        <f t="shared" si="37"/>
        <v>300000000</v>
      </c>
      <c r="L40" s="70">
        <f t="shared" si="37"/>
        <v>0</v>
      </c>
      <c r="M40" s="70">
        <f t="shared" si="37"/>
        <v>0</v>
      </c>
      <c r="N40" s="70">
        <f t="shared" si="37"/>
        <v>244096406</v>
      </c>
      <c r="O40" s="70">
        <f t="shared" si="37"/>
        <v>300000000</v>
      </c>
      <c r="P40" s="70">
        <f t="shared" si="37"/>
        <v>65000000</v>
      </c>
      <c r="Q40" s="70">
        <f t="shared" si="37"/>
        <v>15000000</v>
      </c>
      <c r="R40" s="70">
        <f t="shared" si="37"/>
        <v>55000000</v>
      </c>
      <c r="S40" s="70">
        <f t="shared" si="37"/>
        <v>0</v>
      </c>
      <c r="T40" s="70">
        <f t="shared" si="37"/>
        <v>0</v>
      </c>
      <c r="U40" s="70">
        <f t="shared" si="37"/>
        <v>51586236</v>
      </c>
      <c r="V40" s="70">
        <f t="shared" si="37"/>
        <v>0</v>
      </c>
      <c r="W40" s="70">
        <f t="shared" si="37"/>
        <v>30000000</v>
      </c>
      <c r="X40" s="70">
        <f t="shared" si="37"/>
        <v>312000000</v>
      </c>
      <c r="Y40" s="70">
        <f t="shared" si="37"/>
        <v>79000000</v>
      </c>
      <c r="Z40" s="70">
        <f t="shared" si="37"/>
        <v>0</v>
      </c>
      <c r="AA40" s="70">
        <f t="shared" si="37"/>
        <v>0</v>
      </c>
      <c r="AB40" s="70">
        <f t="shared" si="37"/>
        <v>0</v>
      </c>
      <c r="AC40" s="70">
        <f t="shared" si="37"/>
        <v>972811018</v>
      </c>
      <c r="AD40" s="70">
        <f t="shared" si="37"/>
        <v>707402108</v>
      </c>
      <c r="AE40" s="71">
        <f t="shared" si="32"/>
        <v>0.8173076379866453</v>
      </c>
      <c r="AF40" s="72">
        <f>SUM(AF5:AF39)</f>
        <v>3578169283</v>
      </c>
      <c r="AG40" s="72">
        <f>SUM(AG5:AG39)</f>
        <v>0</v>
      </c>
      <c r="AH40" s="72">
        <f>SUM(AH5:AH39)</f>
        <v>1095891013</v>
      </c>
      <c r="AI40" s="72">
        <f>SUM(AI5:AI39)</f>
        <v>76644090</v>
      </c>
      <c r="AJ40" s="72"/>
      <c r="AK40" s="72">
        <f t="shared" ref="AK40:BC40" si="38">SUM(AK5:AK39)</f>
        <v>0</v>
      </c>
      <c r="AL40" s="72">
        <f t="shared" si="38"/>
        <v>0</v>
      </c>
      <c r="AM40" s="72">
        <f t="shared" si="38"/>
        <v>244096406</v>
      </c>
      <c r="AN40" s="72">
        <f t="shared" si="38"/>
        <v>300000000</v>
      </c>
      <c r="AO40" s="72">
        <f t="shared" si="38"/>
        <v>50000000</v>
      </c>
      <c r="AP40" s="72">
        <f t="shared" si="38"/>
        <v>14999964</v>
      </c>
      <c r="AQ40" s="72">
        <f t="shared" si="38"/>
        <v>40000000</v>
      </c>
      <c r="AR40" s="72">
        <f t="shared" si="38"/>
        <v>0</v>
      </c>
      <c r="AS40" s="72">
        <f t="shared" si="38"/>
        <v>0</v>
      </c>
      <c r="AT40" s="72">
        <f t="shared" si="38"/>
        <v>0</v>
      </c>
      <c r="AU40" s="72">
        <f t="shared" si="38"/>
        <v>0</v>
      </c>
      <c r="AV40" s="72">
        <f t="shared" si="38"/>
        <v>30000000</v>
      </c>
      <c r="AW40" s="72">
        <f t="shared" si="38"/>
        <v>255244655</v>
      </c>
      <c r="AX40" s="72">
        <f t="shared" si="38"/>
        <v>45000000</v>
      </c>
      <c r="AY40" s="72">
        <f t="shared" si="38"/>
        <v>0</v>
      </c>
      <c r="AZ40" s="72">
        <f t="shared" si="38"/>
        <v>0</v>
      </c>
      <c r="BA40" s="72">
        <f t="shared" si="38"/>
        <v>0</v>
      </c>
      <c r="BB40" s="72">
        <f t="shared" si="38"/>
        <v>581330000</v>
      </c>
      <c r="BC40" s="72">
        <f t="shared" si="38"/>
        <v>544963155</v>
      </c>
      <c r="BD40" s="71">
        <f t="shared" si="3"/>
        <v>0.1826923620133547</v>
      </c>
      <c r="BE40" s="72">
        <f t="shared" ref="BE40:CB40" si="39">SUM(BE5:BE39)</f>
        <v>799826366</v>
      </c>
      <c r="BF40" s="72">
        <f t="shared" si="39"/>
        <v>23655791</v>
      </c>
      <c r="BG40" s="72">
        <f t="shared" si="39"/>
        <v>45908987</v>
      </c>
      <c r="BH40" s="72">
        <f t="shared" si="39"/>
        <v>4000000</v>
      </c>
      <c r="BI40" s="72">
        <f t="shared" si="39"/>
        <v>0</v>
      </c>
      <c r="BJ40" s="72">
        <f t="shared" si="39"/>
        <v>0</v>
      </c>
      <c r="BK40" s="72">
        <f t="shared" si="39"/>
        <v>0</v>
      </c>
      <c r="BL40" s="72">
        <f t="shared" si="39"/>
        <v>0</v>
      </c>
      <c r="BM40" s="72">
        <f t="shared" si="39"/>
        <v>0</v>
      </c>
      <c r="BN40" s="72">
        <f t="shared" si="39"/>
        <v>15000000</v>
      </c>
      <c r="BO40" s="72">
        <f t="shared" si="39"/>
        <v>36</v>
      </c>
      <c r="BP40" s="72">
        <f t="shared" si="39"/>
        <v>15000000</v>
      </c>
      <c r="BQ40" s="72">
        <f t="shared" si="39"/>
        <v>0</v>
      </c>
      <c r="BR40" s="72">
        <f t="shared" si="39"/>
        <v>0</v>
      </c>
      <c r="BS40" s="72">
        <f t="shared" si="39"/>
        <v>51586236</v>
      </c>
      <c r="BT40" s="72">
        <f t="shared" si="39"/>
        <v>0</v>
      </c>
      <c r="BU40" s="72">
        <f t="shared" si="39"/>
        <v>0</v>
      </c>
      <c r="BV40" s="72">
        <f t="shared" si="39"/>
        <v>56755345</v>
      </c>
      <c r="BW40" s="72">
        <f t="shared" si="39"/>
        <v>34000000</v>
      </c>
      <c r="BX40" s="72">
        <f t="shared" si="39"/>
        <v>0</v>
      </c>
      <c r="BY40" s="72">
        <f t="shared" si="39"/>
        <v>0</v>
      </c>
      <c r="BZ40" s="72">
        <f t="shared" si="39"/>
        <v>0</v>
      </c>
      <c r="CA40" s="72">
        <f t="shared" si="39"/>
        <v>391481018</v>
      </c>
      <c r="CB40" s="72">
        <f t="shared" si="39"/>
        <v>162438953</v>
      </c>
      <c r="CC40" s="71">
        <f t="shared" si="8"/>
        <v>0.66431679110149799</v>
      </c>
      <c r="CD40" s="92">
        <f>SUM(CD5:CD39)</f>
        <v>2908376021</v>
      </c>
      <c r="CE40" s="72">
        <f>SUM(CE5:CE39)</f>
        <v>0</v>
      </c>
      <c r="CF40" s="72">
        <f>SUM(CF5:CF39)</f>
        <v>960569893</v>
      </c>
      <c r="CG40" s="72">
        <f>SUM(CG5:CG39)</f>
        <v>34615897</v>
      </c>
      <c r="CH40" s="72"/>
      <c r="CI40" s="72">
        <f t="shared" ref="CI40:DA40" si="40">SUM(CI5:CI39)</f>
        <v>0</v>
      </c>
      <c r="CJ40" s="72">
        <f t="shared" si="40"/>
        <v>0</v>
      </c>
      <c r="CK40" s="72">
        <f t="shared" si="40"/>
        <v>236438964</v>
      </c>
      <c r="CL40" s="72">
        <f t="shared" si="40"/>
        <v>300000000</v>
      </c>
      <c r="CM40" s="72">
        <f t="shared" si="40"/>
        <v>0</v>
      </c>
      <c r="CN40" s="72">
        <f t="shared" si="40"/>
        <v>14999964</v>
      </c>
      <c r="CO40" s="72">
        <f t="shared" si="40"/>
        <v>0</v>
      </c>
      <c r="CP40" s="72">
        <f t="shared" si="40"/>
        <v>0</v>
      </c>
      <c r="CQ40" s="72">
        <f t="shared" si="40"/>
        <v>0</v>
      </c>
      <c r="CR40" s="72">
        <f t="shared" si="40"/>
        <v>0</v>
      </c>
      <c r="CS40" s="72">
        <f t="shared" si="40"/>
        <v>0</v>
      </c>
      <c r="CT40" s="72">
        <f t="shared" si="40"/>
        <v>27384000</v>
      </c>
      <c r="CU40" s="72">
        <f t="shared" si="40"/>
        <v>222400747</v>
      </c>
      <c r="CV40" s="72">
        <f t="shared" si="40"/>
        <v>19103891</v>
      </c>
      <c r="CW40" s="72">
        <f t="shared" si="40"/>
        <v>0</v>
      </c>
      <c r="CX40" s="72">
        <f t="shared" si="40"/>
        <v>0</v>
      </c>
      <c r="CY40" s="72">
        <f t="shared" si="40"/>
        <v>0</v>
      </c>
      <c r="CZ40" s="72">
        <f t="shared" si="40"/>
        <v>467044183</v>
      </c>
      <c r="DA40" s="72">
        <f t="shared" si="40"/>
        <v>493808939</v>
      </c>
      <c r="DB40" s="71">
        <f t="shared" si="10"/>
        <v>0.33568320889850201</v>
      </c>
      <c r="DC40" s="72">
        <f t="shared" ref="DC40:DZ40" si="41">SUM(DC5:DC39)</f>
        <v>1469619628</v>
      </c>
      <c r="DD40" s="72">
        <f t="shared" si="41"/>
        <v>23655791</v>
      </c>
      <c r="DE40" s="72">
        <f t="shared" si="41"/>
        <v>181230107</v>
      </c>
      <c r="DF40" s="72">
        <f t="shared" si="41"/>
        <v>46028193</v>
      </c>
      <c r="DG40" s="72">
        <f t="shared" si="41"/>
        <v>167990457</v>
      </c>
      <c r="DH40" s="72">
        <f t="shared" si="41"/>
        <v>0</v>
      </c>
      <c r="DI40" s="72">
        <f t="shared" si="41"/>
        <v>0</v>
      </c>
      <c r="DJ40" s="72">
        <f t="shared" si="41"/>
        <v>7657442</v>
      </c>
      <c r="DK40" s="72">
        <f t="shared" si="41"/>
        <v>0</v>
      </c>
      <c r="DL40" s="72">
        <f t="shared" si="41"/>
        <v>65000000</v>
      </c>
      <c r="DM40" s="72">
        <f t="shared" si="41"/>
        <v>36</v>
      </c>
      <c r="DN40" s="72">
        <f t="shared" si="41"/>
        <v>55000000</v>
      </c>
      <c r="DO40" s="72">
        <f t="shared" si="41"/>
        <v>0</v>
      </c>
      <c r="DP40" s="72">
        <f t="shared" si="41"/>
        <v>0</v>
      </c>
      <c r="DQ40" s="72">
        <f t="shared" si="41"/>
        <v>51586236</v>
      </c>
      <c r="DR40" s="72">
        <f t="shared" si="41"/>
        <v>0</v>
      </c>
      <c r="DS40" s="72">
        <f t="shared" si="41"/>
        <v>2616000</v>
      </c>
      <c r="DT40" s="72">
        <f t="shared" si="41"/>
        <v>89599253</v>
      </c>
      <c r="DU40" s="72">
        <f t="shared" si="41"/>
        <v>59896109</v>
      </c>
      <c r="DV40" s="72">
        <f t="shared" si="41"/>
        <v>0</v>
      </c>
      <c r="DW40" s="72">
        <f t="shared" si="41"/>
        <v>0</v>
      </c>
      <c r="DX40" s="72">
        <f t="shared" si="41"/>
        <v>0</v>
      </c>
      <c r="DY40" s="72">
        <f t="shared" si="41"/>
        <v>505766835</v>
      </c>
      <c r="DZ40" s="72">
        <f t="shared" si="41"/>
        <v>213593169</v>
      </c>
      <c r="EB40" s="47">
        <f t="shared" si="15"/>
        <v>4377995649</v>
      </c>
      <c r="EC40" s="47">
        <f t="shared" si="16"/>
        <v>4377995649</v>
      </c>
      <c r="ED40" s="47">
        <f t="shared" si="17"/>
        <v>4377995649</v>
      </c>
      <c r="EF40" s="74"/>
      <c r="EH40" s="236" t="s">
        <v>414</v>
      </c>
      <c r="EI40" s="74">
        <f>+G40</f>
        <v>4377995649</v>
      </c>
      <c r="EJ40" s="74">
        <f>+CD40</f>
        <v>2908376021</v>
      </c>
      <c r="EK40" s="241">
        <v>0.6643</v>
      </c>
    </row>
    <row r="41" spans="1:141" ht="29.4" hidden="1" customHeight="1" thickTop="1" x14ac:dyDescent="0.3">
      <c r="A41" s="36" t="s">
        <v>135</v>
      </c>
      <c r="B41" s="75" t="s">
        <v>136</v>
      </c>
      <c r="C41" s="38" t="s">
        <v>137</v>
      </c>
      <c r="D41" s="39" t="s">
        <v>138</v>
      </c>
      <c r="E41" s="40">
        <v>410</v>
      </c>
      <c r="F41" s="41" t="s">
        <v>139</v>
      </c>
      <c r="G41" s="42">
        <f t="shared" ref="G41:G80" si="42">SUM(H41:AD41)</f>
        <v>337708416</v>
      </c>
      <c r="H41" s="42"/>
      <c r="I41" s="42"/>
      <c r="J41" s="42"/>
      <c r="K41" s="42"/>
      <c r="L41" s="42"/>
      <c r="M41" s="42"/>
      <c r="N41" s="42"/>
      <c r="O41" s="42">
        <f>105848404+22086033+209773979</f>
        <v>337708416</v>
      </c>
      <c r="P41" s="58"/>
      <c r="Q41" s="58"/>
      <c r="R41" s="58"/>
      <c r="S41" s="58"/>
      <c r="T41" s="58"/>
      <c r="U41" s="58"/>
      <c r="V41" s="58"/>
      <c r="W41" s="58"/>
      <c r="X41" s="42"/>
      <c r="Y41" s="58"/>
      <c r="Z41" s="58"/>
      <c r="AA41" s="58"/>
      <c r="AB41" s="58"/>
      <c r="AC41" s="58"/>
      <c r="AD41" s="58"/>
      <c r="AE41" s="76">
        <f t="shared" si="32"/>
        <v>0.98092139048142646</v>
      </c>
      <c r="AF41" s="42">
        <f t="shared" ref="AF41:AF80" si="43">SUM(AG41:BC41)</f>
        <v>331265409</v>
      </c>
      <c r="AG41" s="42"/>
      <c r="AH41" s="42"/>
      <c r="AI41" s="42"/>
      <c r="AJ41" s="42"/>
      <c r="AK41" s="42"/>
      <c r="AL41" s="42"/>
      <c r="AM41" s="42"/>
      <c r="AN41" s="42">
        <f>+'[3]NOVIEMBRE 2019'!$Q$1813</f>
        <v>331265409</v>
      </c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76">
        <f t="shared" si="3"/>
        <v>1.9078609518573542E-2</v>
      </c>
      <c r="BE41" s="42">
        <f t="shared" ref="BE41:BE80" si="44">SUM(BF41:CB41)</f>
        <v>6443007</v>
      </c>
      <c r="BF41" s="42">
        <f t="shared" ref="BF41:BH80" si="45">H41-AG41</f>
        <v>0</v>
      </c>
      <c r="BG41" s="42">
        <f t="shared" si="45"/>
        <v>0</v>
      </c>
      <c r="BH41" s="42">
        <f t="shared" si="45"/>
        <v>0</v>
      </c>
      <c r="BI41" s="42">
        <f t="shared" ref="BI41:BI80" si="46">+K41-AJ41</f>
        <v>0</v>
      </c>
      <c r="BJ41" s="42">
        <f t="shared" ref="BJ41:BY56" si="47">L41-AK41</f>
        <v>0</v>
      </c>
      <c r="BK41" s="42">
        <f t="shared" si="47"/>
        <v>0</v>
      </c>
      <c r="BL41" s="42">
        <f t="shared" si="47"/>
        <v>0</v>
      </c>
      <c r="BM41" s="42">
        <f t="shared" si="47"/>
        <v>6443007</v>
      </c>
      <c r="BN41" s="42">
        <f t="shared" si="47"/>
        <v>0</v>
      </c>
      <c r="BO41" s="42">
        <f t="shared" si="47"/>
        <v>0</v>
      </c>
      <c r="BP41" s="42">
        <f t="shared" si="47"/>
        <v>0</v>
      </c>
      <c r="BQ41" s="42">
        <f t="shared" si="47"/>
        <v>0</v>
      </c>
      <c r="BR41" s="42">
        <f t="shared" si="47"/>
        <v>0</v>
      </c>
      <c r="BS41" s="42">
        <f t="shared" si="47"/>
        <v>0</v>
      </c>
      <c r="BT41" s="42">
        <f t="shared" si="47"/>
        <v>0</v>
      </c>
      <c r="BU41" s="42">
        <f t="shared" si="47"/>
        <v>0</v>
      </c>
      <c r="BV41" s="42">
        <f t="shared" si="47"/>
        <v>0</v>
      </c>
      <c r="BW41" s="42">
        <f t="shared" si="47"/>
        <v>0</v>
      </c>
      <c r="BX41" s="42">
        <f t="shared" si="47"/>
        <v>0</v>
      </c>
      <c r="BY41" s="42">
        <f t="shared" si="47"/>
        <v>0</v>
      </c>
      <c r="BZ41" s="42">
        <f t="shared" ref="BZ41:BZ80" si="48">AB41-BA41</f>
        <v>0</v>
      </c>
      <c r="CA41" s="42"/>
      <c r="CB41" s="42">
        <f t="shared" ref="CB41:CB80" si="49">AD41-BC41</f>
        <v>0</v>
      </c>
      <c r="CC41" s="76">
        <f t="shared" si="8"/>
        <v>0.16831814460910563</v>
      </c>
      <c r="CD41" s="77">
        <f t="shared" ref="CD41:CD80" si="50">SUM(CE41:DA41)</f>
        <v>56842454</v>
      </c>
      <c r="CE41" s="77"/>
      <c r="CF41" s="77"/>
      <c r="CG41" s="77"/>
      <c r="CH41" s="77"/>
      <c r="CI41" s="77"/>
      <c r="CJ41" s="77"/>
      <c r="CK41" s="77"/>
      <c r="CL41" s="77">
        <f>+'[3]NOVIEMBRE 2019'!$H$1811</f>
        <v>56842454</v>
      </c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6">
        <f t="shared" si="10"/>
        <v>0.83168185539089434</v>
      </c>
      <c r="DC41" s="42">
        <f t="shared" ref="DC41:DC80" si="51">SUM(DD41:DZ41)</f>
        <v>280865962</v>
      </c>
      <c r="DD41" s="42">
        <f t="shared" ref="DD41:DS56" si="52">H41-CE41</f>
        <v>0</v>
      </c>
      <c r="DE41" s="42">
        <f t="shared" si="52"/>
        <v>0</v>
      </c>
      <c r="DF41" s="42">
        <f t="shared" si="52"/>
        <v>0</v>
      </c>
      <c r="DG41" s="42">
        <f t="shared" si="52"/>
        <v>0</v>
      </c>
      <c r="DH41" s="42">
        <f t="shared" si="52"/>
        <v>0</v>
      </c>
      <c r="DI41" s="42">
        <f t="shared" si="52"/>
        <v>0</v>
      </c>
      <c r="DJ41" s="42">
        <f t="shared" si="52"/>
        <v>0</v>
      </c>
      <c r="DK41" s="42">
        <f t="shared" si="52"/>
        <v>280865962</v>
      </c>
      <c r="DL41" s="42">
        <f t="shared" si="52"/>
        <v>0</v>
      </c>
      <c r="DM41" s="42">
        <f t="shared" si="52"/>
        <v>0</v>
      </c>
      <c r="DN41" s="42">
        <f t="shared" si="52"/>
        <v>0</v>
      </c>
      <c r="DO41" s="42">
        <f t="shared" si="52"/>
        <v>0</v>
      </c>
      <c r="DP41" s="42">
        <f t="shared" si="52"/>
        <v>0</v>
      </c>
      <c r="DQ41" s="42">
        <f t="shared" si="52"/>
        <v>0</v>
      </c>
      <c r="DR41" s="42">
        <f t="shared" si="52"/>
        <v>0</v>
      </c>
      <c r="DS41" s="42">
        <f t="shared" si="52"/>
        <v>0</v>
      </c>
      <c r="DT41" s="42">
        <f t="shared" ref="DT41:DX80" si="53">X41-CU41</f>
        <v>0</v>
      </c>
      <c r="DU41" s="42">
        <f t="shared" si="53"/>
        <v>0</v>
      </c>
      <c r="DV41" s="42">
        <f t="shared" si="53"/>
        <v>0</v>
      </c>
      <c r="DW41" s="42">
        <f t="shared" si="53"/>
        <v>0</v>
      </c>
      <c r="DX41" s="42">
        <f t="shared" si="53"/>
        <v>0</v>
      </c>
      <c r="DY41" s="42"/>
      <c r="DZ41" s="42">
        <f t="shared" ref="DZ41:DZ80" si="54">AD41-DA41</f>
        <v>0</v>
      </c>
      <c r="EB41" s="47">
        <f t="shared" si="15"/>
        <v>337708416</v>
      </c>
      <c r="EC41" s="47">
        <f t="shared" si="16"/>
        <v>337708416</v>
      </c>
      <c r="ED41" s="47">
        <f t="shared" si="17"/>
        <v>337708416</v>
      </c>
      <c r="EJ41" s="74">
        <f t="shared" ref="EJ41:EJ104" si="55">+CD41</f>
        <v>56842454</v>
      </c>
      <c r="EK41" s="241"/>
    </row>
    <row r="42" spans="1:141" ht="45" hidden="1" customHeight="1" x14ac:dyDescent="0.3">
      <c r="A42" s="48"/>
      <c r="B42" s="75"/>
      <c r="C42" s="38" t="s">
        <v>140</v>
      </c>
      <c r="D42" s="39" t="s">
        <v>141</v>
      </c>
      <c r="E42" s="40">
        <v>410</v>
      </c>
      <c r="F42" s="41" t="s">
        <v>139</v>
      </c>
      <c r="G42" s="42">
        <f t="shared" si="42"/>
        <v>467922436</v>
      </c>
      <c r="H42" s="42"/>
      <c r="I42" s="42"/>
      <c r="J42" s="42"/>
      <c r="K42" s="42"/>
      <c r="L42" s="42"/>
      <c r="M42" s="42"/>
      <c r="N42" s="42"/>
      <c r="O42" s="42">
        <f>200000000+156000000+21723740</f>
        <v>377723740</v>
      </c>
      <c r="P42" s="42"/>
      <c r="Q42" s="42"/>
      <c r="R42" s="42"/>
      <c r="S42" s="42">
        <v>25617559</v>
      </c>
      <c r="T42" s="42"/>
      <c r="U42" s="42"/>
      <c r="V42" s="42"/>
      <c r="W42" s="42"/>
      <c r="X42" s="42"/>
      <c r="Y42" s="42"/>
      <c r="Z42" s="42">
        <f>49229363+15351774</f>
        <v>64581137</v>
      </c>
      <c r="AA42" s="42"/>
      <c r="AB42" s="42"/>
      <c r="AC42" s="42"/>
      <c r="AD42" s="42"/>
      <c r="AE42" s="43">
        <f t="shared" si="32"/>
        <v>0.99242099816731166</v>
      </c>
      <c r="AF42" s="42">
        <f t="shared" si="43"/>
        <v>464376051</v>
      </c>
      <c r="AG42" s="42"/>
      <c r="AH42" s="42"/>
      <c r="AI42" s="42"/>
      <c r="AJ42" s="42"/>
      <c r="AK42" s="42"/>
      <c r="AL42" s="42"/>
      <c r="AM42" s="42"/>
      <c r="AN42" s="42">
        <f>+'[2]SEPTIEMBRE 2019'!$Q$1482</f>
        <v>376835867</v>
      </c>
      <c r="AO42" s="42"/>
      <c r="AP42" s="42"/>
      <c r="AQ42" s="42"/>
      <c r="AR42" s="42">
        <f>+'[3]NOVIEMBRE 2019'!$U$1832</f>
        <v>23206700</v>
      </c>
      <c r="AS42" s="42"/>
      <c r="AT42" s="42"/>
      <c r="AU42" s="42"/>
      <c r="AV42" s="42"/>
      <c r="AW42" s="42"/>
      <c r="AX42" s="42"/>
      <c r="AY42" s="42">
        <f>+'[3]NOVIEMBRE 2019'!$AB$1832</f>
        <v>64333484</v>
      </c>
      <c r="AZ42" s="42"/>
      <c r="BA42" s="42"/>
      <c r="BB42" s="42"/>
      <c r="BC42" s="42"/>
      <c r="BD42" s="43">
        <f t="shared" si="3"/>
        <v>7.5790018326883368E-3</v>
      </c>
      <c r="BE42" s="42">
        <f t="shared" si="44"/>
        <v>3546385</v>
      </c>
      <c r="BF42" s="42">
        <f t="shared" si="45"/>
        <v>0</v>
      </c>
      <c r="BG42" s="42">
        <f t="shared" si="45"/>
        <v>0</v>
      </c>
      <c r="BH42" s="42">
        <f t="shared" si="45"/>
        <v>0</v>
      </c>
      <c r="BI42" s="42">
        <f t="shared" si="46"/>
        <v>0</v>
      </c>
      <c r="BJ42" s="42">
        <f t="shared" si="47"/>
        <v>0</v>
      </c>
      <c r="BK42" s="42">
        <f t="shared" si="47"/>
        <v>0</v>
      </c>
      <c r="BL42" s="42">
        <f t="shared" si="47"/>
        <v>0</v>
      </c>
      <c r="BM42" s="42">
        <f t="shared" si="47"/>
        <v>887873</v>
      </c>
      <c r="BN42" s="42">
        <f t="shared" si="47"/>
        <v>0</v>
      </c>
      <c r="BO42" s="42">
        <f t="shared" si="47"/>
        <v>0</v>
      </c>
      <c r="BP42" s="42">
        <f t="shared" si="47"/>
        <v>0</v>
      </c>
      <c r="BQ42" s="42">
        <f t="shared" si="47"/>
        <v>2410859</v>
      </c>
      <c r="BR42" s="42">
        <f t="shared" si="47"/>
        <v>0</v>
      </c>
      <c r="BS42" s="42">
        <f t="shared" si="47"/>
        <v>0</v>
      </c>
      <c r="BT42" s="42">
        <f t="shared" si="47"/>
        <v>0</v>
      </c>
      <c r="BU42" s="42">
        <f t="shared" si="47"/>
        <v>0</v>
      </c>
      <c r="BV42" s="42">
        <f t="shared" si="47"/>
        <v>0</v>
      </c>
      <c r="BW42" s="42">
        <f t="shared" si="47"/>
        <v>0</v>
      </c>
      <c r="BX42" s="42">
        <f t="shared" si="47"/>
        <v>247653</v>
      </c>
      <c r="BY42" s="42">
        <f t="shared" si="47"/>
        <v>0</v>
      </c>
      <c r="BZ42" s="42">
        <f t="shared" si="48"/>
        <v>0</v>
      </c>
      <c r="CA42" s="42"/>
      <c r="CB42" s="42">
        <f t="shared" si="49"/>
        <v>0</v>
      </c>
      <c r="CC42" s="43">
        <f t="shared" si="8"/>
        <v>0.74888385988826578</v>
      </c>
      <c r="CD42" s="42">
        <f t="shared" si="50"/>
        <v>350419560</v>
      </c>
      <c r="CE42" s="42"/>
      <c r="CF42" s="42"/>
      <c r="CG42" s="42"/>
      <c r="CH42" s="42"/>
      <c r="CI42" s="42"/>
      <c r="CJ42" s="42"/>
      <c r="CK42" s="42"/>
      <c r="CL42" s="42">
        <f>+'[3]NOVIEMBRE 2019'!$H$1833+'[3]NOVIEMBRE 2019'!$H$1835+'[3]NOVIEMBRE 2019'!$H$1839+'[3]NOVIEMBRE 2019'!$H$1841+'[3]NOVIEMBRE 2019'!$H$1843+'[3]NOVIEMBRE 2019'!$H$1846+'[3]NOVIEMBRE 2019'!$H$1850+'[3]NOVIEMBRE 2019'!$H$1853+'[3]NOVIEMBRE 2019'!$H$1863+'[3]NOVIEMBRE 2019'!$H$1866+'[3]NOVIEMBRE 2019'!$H$1872+'[3]NOVIEMBRE 2019'!$H$1875</f>
        <v>301437850</v>
      </c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>
        <f>+'[3]NOVIEMBRE 2019'!$H$1878</f>
        <v>48981710</v>
      </c>
      <c r="CX42" s="42"/>
      <c r="CY42" s="42"/>
      <c r="CZ42" s="42"/>
      <c r="DA42" s="42"/>
      <c r="DB42" s="43">
        <f t="shared" si="10"/>
        <v>0.25111614011173422</v>
      </c>
      <c r="DC42" s="42">
        <f t="shared" si="51"/>
        <v>117502876</v>
      </c>
      <c r="DD42" s="42">
        <f t="shared" si="52"/>
        <v>0</v>
      </c>
      <c r="DE42" s="42">
        <f t="shared" si="52"/>
        <v>0</v>
      </c>
      <c r="DF42" s="42">
        <f t="shared" si="52"/>
        <v>0</v>
      </c>
      <c r="DG42" s="42">
        <f t="shared" si="52"/>
        <v>0</v>
      </c>
      <c r="DH42" s="42">
        <f t="shared" si="52"/>
        <v>0</v>
      </c>
      <c r="DI42" s="42">
        <f t="shared" si="52"/>
        <v>0</v>
      </c>
      <c r="DJ42" s="42">
        <f t="shared" si="52"/>
        <v>0</v>
      </c>
      <c r="DK42" s="42">
        <f t="shared" si="52"/>
        <v>76285890</v>
      </c>
      <c r="DL42" s="42">
        <f t="shared" si="52"/>
        <v>0</v>
      </c>
      <c r="DM42" s="42">
        <f t="shared" si="52"/>
        <v>0</v>
      </c>
      <c r="DN42" s="42">
        <f t="shared" si="52"/>
        <v>0</v>
      </c>
      <c r="DO42" s="42">
        <f t="shared" si="52"/>
        <v>25617559</v>
      </c>
      <c r="DP42" s="42">
        <f t="shared" si="52"/>
        <v>0</v>
      </c>
      <c r="DQ42" s="42">
        <f t="shared" si="52"/>
        <v>0</v>
      </c>
      <c r="DR42" s="42">
        <f t="shared" si="52"/>
        <v>0</v>
      </c>
      <c r="DS42" s="42">
        <f t="shared" si="52"/>
        <v>0</v>
      </c>
      <c r="DT42" s="42">
        <f t="shared" si="53"/>
        <v>0</v>
      </c>
      <c r="DU42" s="42">
        <f t="shared" si="53"/>
        <v>0</v>
      </c>
      <c r="DV42" s="42">
        <f t="shared" si="53"/>
        <v>15599427</v>
      </c>
      <c r="DW42" s="42">
        <f t="shared" si="53"/>
        <v>0</v>
      </c>
      <c r="DX42" s="42">
        <f t="shared" si="53"/>
        <v>0</v>
      </c>
      <c r="DY42" s="42"/>
      <c r="DZ42" s="42">
        <f t="shared" si="54"/>
        <v>0</v>
      </c>
      <c r="EB42" s="47">
        <f t="shared" si="15"/>
        <v>467922436</v>
      </c>
      <c r="EC42" s="47">
        <f t="shared" si="16"/>
        <v>467922436</v>
      </c>
      <c r="ED42" s="47">
        <f t="shared" si="17"/>
        <v>467922436</v>
      </c>
      <c r="EJ42" s="74">
        <f t="shared" si="55"/>
        <v>350419560</v>
      </c>
      <c r="EK42" s="241"/>
    </row>
    <row r="43" spans="1:141" ht="26.4" hidden="1" customHeight="1" x14ac:dyDescent="0.3">
      <c r="A43" s="48"/>
      <c r="B43" s="75"/>
      <c r="C43" s="78" t="s">
        <v>142</v>
      </c>
      <c r="D43" s="50" t="s">
        <v>143</v>
      </c>
      <c r="E43" s="79">
        <v>410</v>
      </c>
      <c r="F43" s="60" t="s">
        <v>144</v>
      </c>
      <c r="G43" s="42">
        <f t="shared" si="42"/>
        <v>655388854</v>
      </c>
      <c r="H43" s="42"/>
      <c r="I43" s="42"/>
      <c r="J43" s="42"/>
      <c r="K43" s="42"/>
      <c r="L43" s="42"/>
      <c r="M43" s="42"/>
      <c r="N43" s="42"/>
      <c r="O43" s="42">
        <f>250000000+410489538+200000000-22086033-209773979</f>
        <v>628629526</v>
      </c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>
        <f>36759328-10000000</f>
        <v>26759328</v>
      </c>
      <c r="AE43" s="43">
        <f t="shared" si="32"/>
        <v>0.98358329114947074</v>
      </c>
      <c r="AF43" s="42">
        <f t="shared" si="43"/>
        <v>644629526</v>
      </c>
      <c r="AG43" s="42"/>
      <c r="AH43" s="42"/>
      <c r="AI43" s="42"/>
      <c r="AJ43" s="42"/>
      <c r="AK43" s="42"/>
      <c r="AL43" s="42"/>
      <c r="AM43" s="42"/>
      <c r="AN43" s="42">
        <f>+'[1]OCTUBRE 2019'!$Q$1697</f>
        <v>628629526</v>
      </c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>
        <f>+'[2]SEPTIEMBRE 2019'!$AG$1524</f>
        <v>16000000</v>
      </c>
      <c r="BD43" s="43">
        <f t="shared" si="3"/>
        <v>1.641670885052926E-2</v>
      </c>
      <c r="BE43" s="42">
        <f t="shared" si="44"/>
        <v>10759328</v>
      </c>
      <c r="BF43" s="42">
        <f t="shared" si="45"/>
        <v>0</v>
      </c>
      <c r="BG43" s="42">
        <f t="shared" si="45"/>
        <v>0</v>
      </c>
      <c r="BH43" s="42">
        <f t="shared" si="45"/>
        <v>0</v>
      </c>
      <c r="BI43" s="42">
        <f t="shared" si="46"/>
        <v>0</v>
      </c>
      <c r="BJ43" s="42">
        <f t="shared" si="47"/>
        <v>0</v>
      </c>
      <c r="BK43" s="42">
        <f t="shared" si="47"/>
        <v>0</v>
      </c>
      <c r="BL43" s="42">
        <f t="shared" si="47"/>
        <v>0</v>
      </c>
      <c r="BM43" s="42">
        <f t="shared" si="47"/>
        <v>0</v>
      </c>
      <c r="BN43" s="42">
        <f t="shared" si="47"/>
        <v>0</v>
      </c>
      <c r="BO43" s="42">
        <f t="shared" si="47"/>
        <v>0</v>
      </c>
      <c r="BP43" s="42">
        <f t="shared" si="47"/>
        <v>0</v>
      </c>
      <c r="BQ43" s="42">
        <f t="shared" si="47"/>
        <v>0</v>
      </c>
      <c r="BR43" s="42">
        <f t="shared" si="47"/>
        <v>0</v>
      </c>
      <c r="BS43" s="42">
        <f t="shared" si="47"/>
        <v>0</v>
      </c>
      <c r="BT43" s="42">
        <f t="shared" si="47"/>
        <v>0</v>
      </c>
      <c r="BU43" s="42">
        <f t="shared" si="47"/>
        <v>0</v>
      </c>
      <c r="BV43" s="42">
        <f t="shared" si="47"/>
        <v>0</v>
      </c>
      <c r="BW43" s="42">
        <f t="shared" si="47"/>
        <v>0</v>
      </c>
      <c r="BX43" s="42">
        <f t="shared" si="47"/>
        <v>0</v>
      </c>
      <c r="BY43" s="42">
        <f t="shared" si="47"/>
        <v>0</v>
      </c>
      <c r="BZ43" s="42">
        <f t="shared" si="48"/>
        <v>0</v>
      </c>
      <c r="CA43" s="42"/>
      <c r="CB43" s="42">
        <f t="shared" si="49"/>
        <v>10759328</v>
      </c>
      <c r="CC43" s="43">
        <f t="shared" si="8"/>
        <v>0.9017555904299831</v>
      </c>
      <c r="CD43" s="42">
        <f t="shared" si="50"/>
        <v>591000563</v>
      </c>
      <c r="CE43" s="42"/>
      <c r="CF43" s="42"/>
      <c r="CG43" s="42"/>
      <c r="CH43" s="42"/>
      <c r="CI43" s="42"/>
      <c r="CJ43" s="42"/>
      <c r="CK43" s="42"/>
      <c r="CL43" s="42">
        <f>+'[3]NOVIEMBRE 2019'!$H$1891+'[3]NOVIEMBRE 2019'!$H$1934+'[3]NOVIEMBRE 2019'!$H$1941</f>
        <v>582041451</v>
      </c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>
        <f>+'[3]NOVIEMBRE 2019'!$H$1937+'[3]NOVIEMBRE 2019'!$H$1939</f>
        <v>8959112</v>
      </c>
      <c r="DB43" s="43">
        <f t="shared" si="10"/>
        <v>9.82444095700169E-2</v>
      </c>
      <c r="DC43" s="42">
        <f t="shared" si="51"/>
        <v>64388291</v>
      </c>
      <c r="DD43" s="42">
        <f t="shared" si="52"/>
        <v>0</v>
      </c>
      <c r="DE43" s="42">
        <f t="shared" si="52"/>
        <v>0</v>
      </c>
      <c r="DF43" s="42">
        <f t="shared" si="52"/>
        <v>0</v>
      </c>
      <c r="DG43" s="42">
        <f t="shared" si="52"/>
        <v>0</v>
      </c>
      <c r="DH43" s="42">
        <f t="shared" si="52"/>
        <v>0</v>
      </c>
      <c r="DI43" s="42">
        <f t="shared" si="52"/>
        <v>0</v>
      </c>
      <c r="DJ43" s="42">
        <f t="shared" si="52"/>
        <v>0</v>
      </c>
      <c r="DK43" s="42">
        <f t="shared" si="52"/>
        <v>46588075</v>
      </c>
      <c r="DL43" s="42">
        <f t="shared" si="52"/>
        <v>0</v>
      </c>
      <c r="DM43" s="42">
        <f t="shared" si="52"/>
        <v>0</v>
      </c>
      <c r="DN43" s="42">
        <f t="shared" si="52"/>
        <v>0</v>
      </c>
      <c r="DO43" s="42">
        <f t="shared" si="52"/>
        <v>0</v>
      </c>
      <c r="DP43" s="42">
        <f t="shared" si="52"/>
        <v>0</v>
      </c>
      <c r="DQ43" s="42">
        <f t="shared" si="52"/>
        <v>0</v>
      </c>
      <c r="DR43" s="42">
        <f t="shared" si="52"/>
        <v>0</v>
      </c>
      <c r="DS43" s="42">
        <f t="shared" si="52"/>
        <v>0</v>
      </c>
      <c r="DT43" s="42">
        <f t="shared" si="53"/>
        <v>0</v>
      </c>
      <c r="DU43" s="42">
        <f t="shared" si="53"/>
        <v>0</v>
      </c>
      <c r="DV43" s="42">
        <f t="shared" si="53"/>
        <v>0</v>
      </c>
      <c r="DW43" s="42">
        <f t="shared" si="53"/>
        <v>0</v>
      </c>
      <c r="DX43" s="42">
        <f t="shared" si="53"/>
        <v>0</v>
      </c>
      <c r="DY43" s="42"/>
      <c r="DZ43" s="42">
        <f t="shared" si="54"/>
        <v>17800216</v>
      </c>
      <c r="EB43" s="47">
        <f t="shared" si="15"/>
        <v>655388854</v>
      </c>
      <c r="EC43" s="47">
        <f t="shared" si="16"/>
        <v>655388854</v>
      </c>
      <c r="ED43" s="47">
        <f t="shared" si="17"/>
        <v>655388854</v>
      </c>
      <c r="EF43" s="47"/>
      <c r="EJ43" s="74">
        <f t="shared" si="55"/>
        <v>591000563</v>
      </c>
      <c r="EK43" s="241"/>
    </row>
    <row r="44" spans="1:141" ht="43.2" hidden="1" customHeight="1" x14ac:dyDescent="0.3">
      <c r="A44" s="48"/>
      <c r="B44" s="75"/>
      <c r="C44" s="38" t="s">
        <v>145</v>
      </c>
      <c r="D44" s="50" t="s">
        <v>146</v>
      </c>
      <c r="E44" s="40">
        <v>410</v>
      </c>
      <c r="F44" s="41" t="s">
        <v>139</v>
      </c>
      <c r="G44" s="42">
        <f t="shared" si="42"/>
        <v>120369599</v>
      </c>
      <c r="H44" s="42"/>
      <c r="I44" s="42"/>
      <c r="J44" s="42"/>
      <c r="K44" s="42"/>
      <c r="L44" s="42"/>
      <c r="M44" s="42"/>
      <c r="N44" s="42"/>
      <c r="O44" s="42">
        <v>70000000</v>
      </c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>
        <f>35369599+15000000</f>
        <v>50369599</v>
      </c>
      <c r="AA44" s="42"/>
      <c r="AB44" s="42"/>
      <c r="AC44" s="42"/>
      <c r="AD44" s="42"/>
      <c r="AE44" s="43">
        <f t="shared" si="32"/>
        <v>0.9862408032114488</v>
      </c>
      <c r="AF44" s="42">
        <f t="shared" si="43"/>
        <v>118713410</v>
      </c>
      <c r="AG44" s="42"/>
      <c r="AH44" s="42"/>
      <c r="AI44" s="42"/>
      <c r="AJ44" s="42"/>
      <c r="AK44" s="42"/>
      <c r="AL44" s="42"/>
      <c r="AM44" s="42"/>
      <c r="AN44" s="42">
        <f>+'[3]NOVIEMBRE 2019'!$Q$1948</f>
        <v>70000000</v>
      </c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>
        <f>+'[3]NOVIEMBRE 2019'!$AB$1948</f>
        <v>48713410</v>
      </c>
      <c r="AZ44" s="42"/>
      <c r="BA44" s="42"/>
      <c r="BB44" s="42"/>
      <c r="BC44" s="42"/>
      <c r="BD44" s="43">
        <f t="shared" si="3"/>
        <v>1.3759196788551198E-2</v>
      </c>
      <c r="BE44" s="42">
        <f t="shared" si="44"/>
        <v>1656189</v>
      </c>
      <c r="BF44" s="42">
        <f t="shared" si="45"/>
        <v>0</v>
      </c>
      <c r="BG44" s="42">
        <f t="shared" si="45"/>
        <v>0</v>
      </c>
      <c r="BH44" s="42">
        <f t="shared" si="45"/>
        <v>0</v>
      </c>
      <c r="BI44" s="42">
        <f t="shared" si="46"/>
        <v>0</v>
      </c>
      <c r="BJ44" s="42">
        <f t="shared" si="47"/>
        <v>0</v>
      </c>
      <c r="BK44" s="42">
        <f t="shared" si="47"/>
        <v>0</v>
      </c>
      <c r="BL44" s="42">
        <f t="shared" si="47"/>
        <v>0</v>
      </c>
      <c r="BM44" s="42">
        <f t="shared" si="47"/>
        <v>0</v>
      </c>
      <c r="BN44" s="42">
        <f t="shared" si="47"/>
        <v>0</v>
      </c>
      <c r="BO44" s="42">
        <f t="shared" si="47"/>
        <v>0</v>
      </c>
      <c r="BP44" s="42">
        <f t="shared" si="47"/>
        <v>0</v>
      </c>
      <c r="BQ44" s="42">
        <f t="shared" si="47"/>
        <v>0</v>
      </c>
      <c r="BR44" s="42">
        <f t="shared" si="47"/>
        <v>0</v>
      </c>
      <c r="BS44" s="42">
        <f t="shared" si="47"/>
        <v>0</v>
      </c>
      <c r="BT44" s="42">
        <f t="shared" si="47"/>
        <v>0</v>
      </c>
      <c r="BU44" s="42">
        <f t="shared" si="47"/>
        <v>0</v>
      </c>
      <c r="BV44" s="42">
        <f t="shared" si="47"/>
        <v>0</v>
      </c>
      <c r="BW44" s="42">
        <f t="shared" si="47"/>
        <v>0</v>
      </c>
      <c r="BX44" s="42">
        <f t="shared" si="47"/>
        <v>1656189</v>
      </c>
      <c r="BY44" s="42">
        <f t="shared" si="47"/>
        <v>0</v>
      </c>
      <c r="BZ44" s="42">
        <f t="shared" si="48"/>
        <v>0</v>
      </c>
      <c r="CA44" s="42"/>
      <c r="CB44" s="42">
        <f t="shared" si="49"/>
        <v>0</v>
      </c>
      <c r="CC44" s="43">
        <f t="shared" si="8"/>
        <v>0.96530528443481811</v>
      </c>
      <c r="CD44" s="42">
        <f t="shared" si="50"/>
        <v>116193410</v>
      </c>
      <c r="CE44" s="42"/>
      <c r="CF44" s="42"/>
      <c r="CG44" s="42"/>
      <c r="CH44" s="42"/>
      <c r="CI44" s="42"/>
      <c r="CJ44" s="42"/>
      <c r="CK44" s="42"/>
      <c r="CL44" s="42">
        <f>+'[3]NOVIEMBRE 2019'!$H$1949+'[3]NOVIEMBRE 2019'!$H$1952+'[3]NOVIEMBRE 2019'!$H$1954+'[3]NOVIEMBRE 2019'!$H$1955+'[3]NOVIEMBRE 2019'!$H$1958+'[3]NOVIEMBRE 2019'!$H$1960+'[3]NOVIEMBRE 2019'!$H$1963+'[3]NOVIEMBRE 2019'!$H$1966+'[3]NOVIEMBRE 2019'!$H$1968+'[3]NOVIEMBRE 2019'!$H$1969+'[3]NOVIEMBRE 2019'!$H$1970+'[3]NOVIEMBRE 2019'!$H$1971+'[3]NOVIEMBRE 2019'!$H$1973+'[3]NOVIEMBRE 2019'!$H$1974+'[3]NOVIEMBRE 2019'!$H$1975+'[3]NOVIEMBRE 2019'!$H$1976+'[3]NOVIEMBRE 2019'!$H$1977+'[3]NOVIEMBRE 2019'!$H$1978+'[3]NOVIEMBRE 2019'!$H$1979+'[3]NOVIEMBRE 2019'!$H$1980+'[3]NOVIEMBRE 2019'!$H$1981+'[3]NOVIEMBRE 2019'!$H$1982+'[3]NOVIEMBRE 2019'!$H$1984+'[3]NOVIEMBRE 2019'!$H$1985+'[3]NOVIEMBRE 2019'!$H$2000+'[3]NOVIEMBRE 2019'!$H$2019</f>
        <v>70000000</v>
      </c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>
        <f>+'[3]NOVIEMBRE 2019'!$H$1986+'[3]NOVIEMBRE 2019'!$H$1987+'[3]NOVIEMBRE 2019'!$H$1988+'[3]NOVIEMBRE 2019'!$H$1989+'[3]NOVIEMBRE 2019'!$H$1990+'[3]NOVIEMBRE 2019'!$H$1993+'[3]NOVIEMBRE 2019'!$H$1996+'[3]NOVIEMBRE 2019'!$H$2001+'[3]NOVIEMBRE 2019'!$H$2002+'[3]NOVIEMBRE 2019'!$H$2003+'[3]NOVIEMBRE 2019'!$H$2004+'[3]NOVIEMBRE 2019'!$H$2005+'[3]NOVIEMBRE 2019'!$H$2006+'[3]NOVIEMBRE 2019'!$H$2008+'[3]NOVIEMBRE 2019'!$H$2009+'[3]NOVIEMBRE 2019'!$H$2010+'[3]NOVIEMBRE 2019'!$H$2011+'[3]NOVIEMBRE 2019'!$H$2012+'[3]NOVIEMBRE 2019'!$H$2013+'[3]NOVIEMBRE 2019'!$H$2014+'[3]NOVIEMBRE 2019'!$H$2015+'[3]NOVIEMBRE 2019'!$H$2016+'[3]NOVIEMBRE 2019'!$H$2017+'[3]NOVIEMBRE 2019'!$H$2018</f>
        <v>46193410</v>
      </c>
      <c r="CX44" s="42"/>
      <c r="CY44" s="42"/>
      <c r="CZ44" s="42"/>
      <c r="DA44" s="42"/>
      <c r="DB44" s="43">
        <f t="shared" si="10"/>
        <v>3.4694715565181888E-2</v>
      </c>
      <c r="DC44" s="42">
        <f t="shared" si="51"/>
        <v>4176189</v>
      </c>
      <c r="DD44" s="42">
        <f t="shared" si="52"/>
        <v>0</v>
      </c>
      <c r="DE44" s="42">
        <f t="shared" si="52"/>
        <v>0</v>
      </c>
      <c r="DF44" s="42">
        <f t="shared" si="52"/>
        <v>0</v>
      </c>
      <c r="DG44" s="42">
        <f t="shared" si="52"/>
        <v>0</v>
      </c>
      <c r="DH44" s="42">
        <f t="shared" si="52"/>
        <v>0</v>
      </c>
      <c r="DI44" s="42">
        <f t="shared" si="52"/>
        <v>0</v>
      </c>
      <c r="DJ44" s="42">
        <f t="shared" si="52"/>
        <v>0</v>
      </c>
      <c r="DK44" s="42">
        <f t="shared" si="52"/>
        <v>0</v>
      </c>
      <c r="DL44" s="42">
        <f t="shared" si="52"/>
        <v>0</v>
      </c>
      <c r="DM44" s="42">
        <f t="shared" si="52"/>
        <v>0</v>
      </c>
      <c r="DN44" s="42">
        <f t="shared" si="52"/>
        <v>0</v>
      </c>
      <c r="DO44" s="42">
        <f t="shared" si="52"/>
        <v>0</v>
      </c>
      <c r="DP44" s="42">
        <f t="shared" si="52"/>
        <v>0</v>
      </c>
      <c r="DQ44" s="42">
        <f t="shared" si="52"/>
        <v>0</v>
      </c>
      <c r="DR44" s="42">
        <f t="shared" si="52"/>
        <v>0</v>
      </c>
      <c r="DS44" s="42">
        <f t="shared" si="52"/>
        <v>0</v>
      </c>
      <c r="DT44" s="42">
        <f t="shared" si="53"/>
        <v>0</v>
      </c>
      <c r="DU44" s="42">
        <f t="shared" si="53"/>
        <v>0</v>
      </c>
      <c r="DV44" s="42">
        <f t="shared" si="53"/>
        <v>4176189</v>
      </c>
      <c r="DW44" s="42">
        <f t="shared" si="53"/>
        <v>0</v>
      </c>
      <c r="DX44" s="42">
        <f t="shared" si="53"/>
        <v>0</v>
      </c>
      <c r="DY44" s="42"/>
      <c r="DZ44" s="42">
        <f t="shared" si="54"/>
        <v>0</v>
      </c>
      <c r="EB44" s="47">
        <f t="shared" si="15"/>
        <v>120369599</v>
      </c>
      <c r="EC44" s="47">
        <f t="shared" si="16"/>
        <v>120369599</v>
      </c>
      <c r="ED44" s="47">
        <f t="shared" si="17"/>
        <v>120369599</v>
      </c>
      <c r="EJ44" s="74">
        <f t="shared" si="55"/>
        <v>116193410</v>
      </c>
      <c r="EK44" s="241"/>
    </row>
    <row r="45" spans="1:141" ht="30.75" hidden="1" customHeight="1" x14ac:dyDescent="0.3">
      <c r="A45" s="48"/>
      <c r="B45" s="80" t="s">
        <v>147</v>
      </c>
      <c r="C45" s="81" t="s">
        <v>148</v>
      </c>
      <c r="D45" s="50" t="s">
        <v>149</v>
      </c>
      <c r="E45" s="79">
        <v>410</v>
      </c>
      <c r="F45" s="60" t="s">
        <v>150</v>
      </c>
      <c r="G45" s="42">
        <f t="shared" si="42"/>
        <v>83000000</v>
      </c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>
        <v>5000000</v>
      </c>
      <c r="U45" s="42">
        <v>10000000</v>
      </c>
      <c r="V45" s="42">
        <f>5000000+15000000</f>
        <v>20000000</v>
      </c>
      <c r="W45" s="42"/>
      <c r="X45" s="42"/>
      <c r="Y45" s="42"/>
      <c r="Z45" s="42">
        <v>20000000</v>
      </c>
      <c r="AA45" s="42"/>
      <c r="AB45" s="42"/>
      <c r="AC45" s="42"/>
      <c r="AD45" s="42">
        <f>20000000+18000000-10000000</f>
        <v>28000000</v>
      </c>
      <c r="AE45" s="43">
        <f t="shared" si="32"/>
        <v>0.49054143373493975</v>
      </c>
      <c r="AF45" s="42">
        <f t="shared" si="43"/>
        <v>40714939</v>
      </c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>
        <f>+'[3]NOVIEMBRE 2019'!$V$2053</f>
        <v>2114681</v>
      </c>
      <c r="AT45" s="42">
        <f>+'[3]NOVIEMBRE 2019'!$W$2053</f>
        <v>2565739</v>
      </c>
      <c r="AU45" s="42">
        <f>+'[3]NOVIEMBRE 2019'!$X$2053</f>
        <v>2768519</v>
      </c>
      <c r="AV45" s="42"/>
      <c r="AW45" s="42"/>
      <c r="AX45" s="42"/>
      <c r="AY45" s="42">
        <f>+'[1]OCTUBRE 2019'!$AB$1846</f>
        <v>5266000</v>
      </c>
      <c r="AZ45" s="42"/>
      <c r="BA45" s="42"/>
      <c r="BB45" s="42"/>
      <c r="BC45" s="42">
        <f>+'[12]JULIO 2019'!$AF$1214</f>
        <v>28000000</v>
      </c>
      <c r="BD45" s="43">
        <f t="shared" si="3"/>
        <v>0.50945856626506025</v>
      </c>
      <c r="BE45" s="42">
        <f t="shared" si="44"/>
        <v>42285061</v>
      </c>
      <c r="BF45" s="42">
        <f t="shared" si="45"/>
        <v>0</v>
      </c>
      <c r="BG45" s="42">
        <f t="shared" si="45"/>
        <v>0</v>
      </c>
      <c r="BH45" s="42">
        <f t="shared" si="45"/>
        <v>0</v>
      </c>
      <c r="BI45" s="42">
        <f t="shared" si="46"/>
        <v>0</v>
      </c>
      <c r="BJ45" s="42">
        <f t="shared" si="47"/>
        <v>0</v>
      </c>
      <c r="BK45" s="42">
        <f t="shared" si="47"/>
        <v>0</v>
      </c>
      <c r="BL45" s="42">
        <f t="shared" si="47"/>
        <v>0</v>
      </c>
      <c r="BM45" s="42">
        <f t="shared" si="47"/>
        <v>0</v>
      </c>
      <c r="BN45" s="42">
        <f t="shared" si="47"/>
        <v>0</v>
      </c>
      <c r="BO45" s="42">
        <f t="shared" si="47"/>
        <v>0</v>
      </c>
      <c r="BP45" s="42">
        <f t="shared" si="47"/>
        <v>0</v>
      </c>
      <c r="BQ45" s="42">
        <f t="shared" si="47"/>
        <v>0</v>
      </c>
      <c r="BR45" s="42">
        <f t="shared" si="47"/>
        <v>2885319</v>
      </c>
      <c r="BS45" s="42">
        <f t="shared" si="47"/>
        <v>7434261</v>
      </c>
      <c r="BT45" s="42">
        <f t="shared" si="47"/>
        <v>17231481</v>
      </c>
      <c r="BU45" s="42">
        <f t="shared" si="47"/>
        <v>0</v>
      </c>
      <c r="BV45" s="42">
        <f t="shared" si="47"/>
        <v>0</v>
      </c>
      <c r="BW45" s="42">
        <f t="shared" si="47"/>
        <v>0</v>
      </c>
      <c r="BX45" s="42">
        <f t="shared" si="47"/>
        <v>14734000</v>
      </c>
      <c r="BY45" s="42">
        <f t="shared" si="47"/>
        <v>0</v>
      </c>
      <c r="BZ45" s="42">
        <f t="shared" si="48"/>
        <v>0</v>
      </c>
      <c r="CA45" s="42"/>
      <c r="CB45" s="42">
        <f t="shared" si="49"/>
        <v>0</v>
      </c>
      <c r="CC45" s="43">
        <f t="shared" si="8"/>
        <v>0.33245308433734938</v>
      </c>
      <c r="CD45" s="42">
        <f t="shared" si="50"/>
        <v>27593606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>
        <f>+'[3]NOVIEMBRE 2019'!$H$2059+'[3]NOVIEMBRE 2019'!$H$2067+'[3]NOVIEMBRE 2019'!$H$2082+'[3]NOVIEMBRE 2019'!$H$2086</f>
        <v>2114681</v>
      </c>
      <c r="CR45" s="42">
        <f>+'[3]NOVIEMBRE 2019'!$H$2061+'[3]NOVIEMBRE 2019'!$H$2066+'[3]NOVIEMBRE 2019'!$H$2068+'[3]NOVIEMBRE 2019'!$H$2083+'[3]NOVIEMBRE 2019'!$H$2087</f>
        <v>2565739</v>
      </c>
      <c r="CS45" s="42">
        <f>+'[3]NOVIEMBRE 2019'!$H$2063+'[3]NOVIEMBRE 2019'!$H$2069+'[3]NOVIEMBRE 2019'!$H$2084+'[3]NOVIEMBRE 2019'!$H$2085+'[3]NOVIEMBRE 2019'!$H$2088</f>
        <v>2768519</v>
      </c>
      <c r="CT45" s="42"/>
      <c r="CU45" s="42"/>
      <c r="CV45" s="42"/>
      <c r="CW45" s="42">
        <f>+'[3]NOVIEMBRE 2019'!$H$2074+'[3]NOVIEMBRE 2019'!$H$2079+'[3]NOVIEMBRE 2019'!$H$2080</f>
        <v>5266000</v>
      </c>
      <c r="CX45" s="42"/>
      <c r="CY45" s="42"/>
      <c r="CZ45" s="42"/>
      <c r="DA45" s="42">
        <f>+'[3]NOVIEMBRE 2019'!$H$2054+'[3]NOVIEMBRE 2019'!$H$2070+'[3]NOVIEMBRE 2019'!$H$2076</f>
        <v>14878667</v>
      </c>
      <c r="DB45" s="43">
        <f t="shared" si="10"/>
        <v>0.66754691566265056</v>
      </c>
      <c r="DC45" s="42">
        <f t="shared" si="51"/>
        <v>55406394</v>
      </c>
      <c r="DD45" s="42">
        <f t="shared" si="52"/>
        <v>0</v>
      </c>
      <c r="DE45" s="42">
        <f t="shared" si="52"/>
        <v>0</v>
      </c>
      <c r="DF45" s="42">
        <f t="shared" si="52"/>
        <v>0</v>
      </c>
      <c r="DG45" s="42">
        <f t="shared" si="52"/>
        <v>0</v>
      </c>
      <c r="DH45" s="42">
        <f t="shared" si="52"/>
        <v>0</v>
      </c>
      <c r="DI45" s="42">
        <f t="shared" si="52"/>
        <v>0</v>
      </c>
      <c r="DJ45" s="42">
        <f t="shared" si="52"/>
        <v>0</v>
      </c>
      <c r="DK45" s="42">
        <f t="shared" si="52"/>
        <v>0</v>
      </c>
      <c r="DL45" s="42">
        <f t="shared" si="52"/>
        <v>0</v>
      </c>
      <c r="DM45" s="42">
        <f t="shared" si="52"/>
        <v>0</v>
      </c>
      <c r="DN45" s="42">
        <f t="shared" si="52"/>
        <v>0</v>
      </c>
      <c r="DO45" s="42">
        <f t="shared" si="52"/>
        <v>0</v>
      </c>
      <c r="DP45" s="42">
        <f t="shared" si="52"/>
        <v>2885319</v>
      </c>
      <c r="DQ45" s="42">
        <f t="shared" si="52"/>
        <v>7434261</v>
      </c>
      <c r="DR45" s="42">
        <f t="shared" si="52"/>
        <v>17231481</v>
      </c>
      <c r="DS45" s="42">
        <f t="shared" si="52"/>
        <v>0</v>
      </c>
      <c r="DT45" s="42">
        <f t="shared" si="53"/>
        <v>0</v>
      </c>
      <c r="DU45" s="42">
        <f t="shared" si="53"/>
        <v>0</v>
      </c>
      <c r="DV45" s="42">
        <f t="shared" si="53"/>
        <v>14734000</v>
      </c>
      <c r="DW45" s="42">
        <f t="shared" si="53"/>
        <v>0</v>
      </c>
      <c r="DX45" s="42">
        <f t="shared" si="53"/>
        <v>0</v>
      </c>
      <c r="DY45" s="42"/>
      <c r="DZ45" s="42">
        <f t="shared" si="54"/>
        <v>13121333</v>
      </c>
      <c r="EB45" s="47">
        <f t="shared" si="15"/>
        <v>83000000</v>
      </c>
      <c r="EC45" s="47">
        <f t="shared" si="16"/>
        <v>83000000</v>
      </c>
      <c r="ED45" s="47">
        <f t="shared" si="17"/>
        <v>83000000</v>
      </c>
      <c r="EJ45" s="74">
        <f t="shared" si="55"/>
        <v>27593606</v>
      </c>
      <c r="EK45" s="241"/>
    </row>
    <row r="46" spans="1:141" ht="54.6" hidden="1" customHeight="1" x14ac:dyDescent="0.3">
      <c r="A46" s="48"/>
      <c r="B46" s="80"/>
      <c r="C46" s="38" t="s">
        <v>151</v>
      </c>
      <c r="D46" s="50" t="s">
        <v>152</v>
      </c>
      <c r="E46" s="40">
        <v>410</v>
      </c>
      <c r="F46" s="41" t="s">
        <v>153</v>
      </c>
      <c r="G46" s="42">
        <f t="shared" si="42"/>
        <v>30000000</v>
      </c>
      <c r="H46" s="42"/>
      <c r="I46" s="42"/>
      <c r="J46" s="42"/>
      <c r="K46" s="42"/>
      <c r="L46" s="42"/>
      <c r="M46" s="42"/>
      <c r="N46" s="42"/>
      <c r="O46" s="42">
        <v>10000000</v>
      </c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>
        <v>20000000</v>
      </c>
      <c r="AA46" s="42"/>
      <c r="AB46" s="42"/>
      <c r="AC46" s="42"/>
      <c r="AD46" s="42"/>
      <c r="AE46" s="43">
        <f t="shared" si="32"/>
        <v>0.92900173333333336</v>
      </c>
      <c r="AF46" s="42">
        <f t="shared" si="43"/>
        <v>27870052</v>
      </c>
      <c r="AG46" s="42"/>
      <c r="AH46" s="42"/>
      <c r="AI46" s="42"/>
      <c r="AJ46" s="42"/>
      <c r="AK46" s="42"/>
      <c r="AL46" s="42"/>
      <c r="AM46" s="42"/>
      <c r="AN46" s="42">
        <f>+'[12]JULIO 2019'!$P$1244</f>
        <v>8000000</v>
      </c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>
        <f>+'[2]SEPTIEMBRE 2019'!$AB$1683</f>
        <v>19870052</v>
      </c>
      <c r="AZ46" s="42"/>
      <c r="BA46" s="42"/>
      <c r="BB46" s="42"/>
      <c r="BC46" s="42"/>
      <c r="BD46" s="43">
        <f t="shared" si="3"/>
        <v>7.0998266666666643E-2</v>
      </c>
      <c r="BE46" s="42">
        <f t="shared" si="44"/>
        <v>2129948</v>
      </c>
      <c r="BF46" s="42">
        <f t="shared" si="45"/>
        <v>0</v>
      </c>
      <c r="BG46" s="42">
        <f t="shared" si="45"/>
        <v>0</v>
      </c>
      <c r="BH46" s="42">
        <f t="shared" si="45"/>
        <v>0</v>
      </c>
      <c r="BI46" s="42">
        <f t="shared" si="46"/>
        <v>0</v>
      </c>
      <c r="BJ46" s="42">
        <f t="shared" si="47"/>
        <v>0</v>
      </c>
      <c r="BK46" s="42">
        <f t="shared" si="47"/>
        <v>0</v>
      </c>
      <c r="BL46" s="42">
        <f t="shared" si="47"/>
        <v>0</v>
      </c>
      <c r="BM46" s="42">
        <f t="shared" si="47"/>
        <v>2000000</v>
      </c>
      <c r="BN46" s="42">
        <f t="shared" si="47"/>
        <v>0</v>
      </c>
      <c r="BO46" s="42">
        <f t="shared" si="47"/>
        <v>0</v>
      </c>
      <c r="BP46" s="42">
        <f t="shared" si="47"/>
        <v>0</v>
      </c>
      <c r="BQ46" s="42">
        <f t="shared" si="47"/>
        <v>0</v>
      </c>
      <c r="BR46" s="42">
        <f t="shared" si="47"/>
        <v>0</v>
      </c>
      <c r="BS46" s="42">
        <f t="shared" si="47"/>
        <v>0</v>
      </c>
      <c r="BT46" s="42">
        <f t="shared" si="47"/>
        <v>0</v>
      </c>
      <c r="BU46" s="42">
        <f t="shared" si="47"/>
        <v>0</v>
      </c>
      <c r="BV46" s="42">
        <f t="shared" si="47"/>
        <v>0</v>
      </c>
      <c r="BW46" s="42">
        <f t="shared" si="47"/>
        <v>0</v>
      </c>
      <c r="BX46" s="42">
        <f t="shared" si="47"/>
        <v>129948</v>
      </c>
      <c r="BY46" s="42">
        <f t="shared" si="47"/>
        <v>0</v>
      </c>
      <c r="BZ46" s="42">
        <f t="shared" si="48"/>
        <v>0</v>
      </c>
      <c r="CA46" s="42"/>
      <c r="CB46" s="42">
        <f t="shared" si="49"/>
        <v>0</v>
      </c>
      <c r="CC46" s="43">
        <f t="shared" si="8"/>
        <v>0.9269797666666667</v>
      </c>
      <c r="CD46" s="42">
        <f t="shared" si="50"/>
        <v>27809393</v>
      </c>
      <c r="CE46" s="42"/>
      <c r="CF46" s="42"/>
      <c r="CG46" s="42"/>
      <c r="CH46" s="42"/>
      <c r="CI46" s="42"/>
      <c r="CJ46" s="42"/>
      <c r="CK46" s="42"/>
      <c r="CL46" s="42">
        <f>+'[12]JULIO 2019'!$H$1256</f>
        <v>7943538</v>
      </c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>
        <f>+'[2]SEPTIEMBRE 2019'!$H$1681-CL46</f>
        <v>19865855</v>
      </c>
      <c r="CX46" s="42"/>
      <c r="CY46" s="42"/>
      <c r="CZ46" s="42"/>
      <c r="DA46" s="42"/>
      <c r="DB46" s="43">
        <f t="shared" si="10"/>
        <v>7.3020233333333295E-2</v>
      </c>
      <c r="DC46" s="42">
        <f t="shared" si="51"/>
        <v>2190607</v>
      </c>
      <c r="DD46" s="42">
        <f t="shared" si="52"/>
        <v>0</v>
      </c>
      <c r="DE46" s="42">
        <f t="shared" si="52"/>
        <v>0</v>
      </c>
      <c r="DF46" s="42">
        <f t="shared" si="52"/>
        <v>0</v>
      </c>
      <c r="DG46" s="42">
        <f t="shared" si="52"/>
        <v>0</v>
      </c>
      <c r="DH46" s="42">
        <f t="shared" si="52"/>
        <v>0</v>
      </c>
      <c r="DI46" s="42">
        <f t="shared" si="52"/>
        <v>0</v>
      </c>
      <c r="DJ46" s="42">
        <f t="shared" si="52"/>
        <v>0</v>
      </c>
      <c r="DK46" s="42">
        <f t="shared" si="52"/>
        <v>2056462</v>
      </c>
      <c r="DL46" s="42">
        <f t="shared" si="52"/>
        <v>0</v>
      </c>
      <c r="DM46" s="42">
        <f t="shared" si="52"/>
        <v>0</v>
      </c>
      <c r="DN46" s="42">
        <f t="shared" si="52"/>
        <v>0</v>
      </c>
      <c r="DO46" s="42">
        <f t="shared" si="52"/>
        <v>0</v>
      </c>
      <c r="DP46" s="42">
        <f t="shared" si="52"/>
        <v>0</v>
      </c>
      <c r="DQ46" s="42">
        <f t="shared" si="52"/>
        <v>0</v>
      </c>
      <c r="DR46" s="42">
        <f t="shared" si="52"/>
        <v>0</v>
      </c>
      <c r="DS46" s="42">
        <f t="shared" si="52"/>
        <v>0</v>
      </c>
      <c r="DT46" s="42">
        <f t="shared" si="53"/>
        <v>0</v>
      </c>
      <c r="DU46" s="42">
        <f t="shared" si="53"/>
        <v>0</v>
      </c>
      <c r="DV46" s="42">
        <f t="shared" si="53"/>
        <v>134145</v>
      </c>
      <c r="DW46" s="42">
        <f t="shared" si="53"/>
        <v>0</v>
      </c>
      <c r="DX46" s="42">
        <f t="shared" si="53"/>
        <v>0</v>
      </c>
      <c r="DY46" s="42"/>
      <c r="DZ46" s="42">
        <f t="shared" si="54"/>
        <v>0</v>
      </c>
      <c r="EB46" s="47">
        <f t="shared" si="15"/>
        <v>30000000</v>
      </c>
      <c r="EC46" s="47">
        <f t="shared" si="16"/>
        <v>30000000</v>
      </c>
      <c r="ED46" s="47">
        <f t="shared" si="17"/>
        <v>30000000</v>
      </c>
      <c r="EJ46" s="74">
        <f t="shared" si="55"/>
        <v>27809393</v>
      </c>
      <c r="EK46" s="241"/>
    </row>
    <row r="47" spans="1:141" ht="46.8" hidden="1" customHeight="1" thickTop="1" x14ac:dyDescent="0.3">
      <c r="A47" s="48"/>
      <c r="B47" s="80"/>
      <c r="C47" s="38" t="s">
        <v>154</v>
      </c>
      <c r="D47" s="50" t="s">
        <v>155</v>
      </c>
      <c r="E47" s="40">
        <v>410</v>
      </c>
      <c r="F47" s="41" t="s">
        <v>156</v>
      </c>
      <c r="G47" s="42">
        <f t="shared" si="42"/>
        <v>175597081</v>
      </c>
      <c r="H47" s="42"/>
      <c r="I47" s="42"/>
      <c r="J47" s="42"/>
      <c r="K47" s="42"/>
      <c r="L47" s="42"/>
      <c r="M47" s="42"/>
      <c r="N47" s="42"/>
      <c r="O47" s="42">
        <f>60000000-10000000</f>
        <v>50000000</v>
      </c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>
        <f>70000000+20000000+15000000+15597081+5000000</f>
        <v>125597081</v>
      </c>
      <c r="AE47" s="43">
        <f t="shared" si="32"/>
        <v>0.69636200843224727</v>
      </c>
      <c r="AF47" s="42">
        <f t="shared" si="43"/>
        <v>122279136</v>
      </c>
      <c r="AG47" s="42"/>
      <c r="AH47" s="42"/>
      <c r="AI47" s="42"/>
      <c r="AJ47" s="42"/>
      <c r="AK47" s="42"/>
      <c r="AL47" s="42"/>
      <c r="AM47" s="42"/>
      <c r="AN47" s="42">
        <f>+'[1]OCTUBRE 2019'!$Q$1906</f>
        <v>49002673</v>
      </c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>
        <f>+'[3]NOVIEMBRE 2019'!$AG$2116</f>
        <v>73276463</v>
      </c>
      <c r="BD47" s="43">
        <f t="shared" si="3"/>
        <v>0.30363799156775273</v>
      </c>
      <c r="BE47" s="42">
        <f t="shared" si="44"/>
        <v>53317945</v>
      </c>
      <c r="BF47" s="42">
        <f t="shared" si="45"/>
        <v>0</v>
      </c>
      <c r="BG47" s="42">
        <f t="shared" si="45"/>
        <v>0</v>
      </c>
      <c r="BH47" s="42">
        <f t="shared" si="45"/>
        <v>0</v>
      </c>
      <c r="BI47" s="42">
        <f t="shared" si="46"/>
        <v>0</v>
      </c>
      <c r="BJ47" s="42">
        <f t="shared" si="47"/>
        <v>0</v>
      </c>
      <c r="BK47" s="42">
        <f t="shared" si="47"/>
        <v>0</v>
      </c>
      <c r="BL47" s="42">
        <f t="shared" si="47"/>
        <v>0</v>
      </c>
      <c r="BM47" s="42">
        <f t="shared" si="47"/>
        <v>997327</v>
      </c>
      <c r="BN47" s="42">
        <f t="shared" si="47"/>
        <v>0</v>
      </c>
      <c r="BO47" s="42">
        <f t="shared" si="47"/>
        <v>0</v>
      </c>
      <c r="BP47" s="42">
        <f t="shared" si="47"/>
        <v>0</v>
      </c>
      <c r="BQ47" s="42">
        <f t="shared" si="47"/>
        <v>0</v>
      </c>
      <c r="BR47" s="42">
        <f t="shared" si="47"/>
        <v>0</v>
      </c>
      <c r="BS47" s="42">
        <f t="shared" si="47"/>
        <v>0</v>
      </c>
      <c r="BT47" s="42">
        <f t="shared" si="47"/>
        <v>0</v>
      </c>
      <c r="BU47" s="42">
        <f t="shared" si="47"/>
        <v>0</v>
      </c>
      <c r="BV47" s="42">
        <f t="shared" si="47"/>
        <v>0</v>
      </c>
      <c r="BW47" s="42">
        <f t="shared" si="47"/>
        <v>0</v>
      </c>
      <c r="BX47" s="42">
        <f t="shared" si="47"/>
        <v>0</v>
      </c>
      <c r="BY47" s="42">
        <f t="shared" si="47"/>
        <v>0</v>
      </c>
      <c r="BZ47" s="42">
        <f t="shared" si="48"/>
        <v>0</v>
      </c>
      <c r="CA47" s="42"/>
      <c r="CB47" s="42">
        <f t="shared" si="49"/>
        <v>52320618</v>
      </c>
      <c r="CC47" s="43">
        <f t="shared" si="8"/>
        <v>0.61589319927248676</v>
      </c>
      <c r="CD47" s="42">
        <f t="shared" si="50"/>
        <v>108149048</v>
      </c>
      <c r="CE47" s="42"/>
      <c r="CF47" s="42"/>
      <c r="CG47" s="42"/>
      <c r="CH47" s="42"/>
      <c r="CI47" s="42"/>
      <c r="CJ47" s="42"/>
      <c r="CK47" s="42"/>
      <c r="CL47" s="42">
        <f>+'[1]OCTUBRE 2019'!$H$1916+'[1]OCTUBRE 2019'!$H$1917+'[1]OCTUBRE 2019'!$H$1918+'[1]OCTUBRE 2019'!$H$1929+'[1]OCTUBRE 2019'!$H$1930+'[1]OCTUBRE 2019'!$H$1935+'[1]OCTUBRE 2019'!$H$1941+'[1]OCTUBRE 2019'!$H$1943+'[1]OCTUBRE 2019'!$H$1944+'[1]OCTUBRE 2019'!$H$1947+'[1]OCTUBRE 2019'!$H$1949+'[1]OCTUBRE 2019'!$H$1950+'[1]OCTUBRE 2019'!$H$1951+'[1]OCTUBRE 2019'!$H$1952+'[1]OCTUBRE 2019'!$H$1955+'[1]OCTUBRE 2019'!$H$1956+'[1]OCTUBRE 2019'!$H$1961+'[1]OCTUBRE 2019'!$H$1962+'[1]OCTUBRE 2019'!$H$1963+'[1]OCTUBRE 2019'!$H$1964+'[1]OCTUBRE 2019'!$H$1965+'[1]OCTUBRE 2019'!$H$1966+'[1]OCTUBRE 2019'!$H$1967</f>
        <v>49002673</v>
      </c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>
        <f>+'[3]NOVIEMBRE 2019'!$H$2117+'[3]NOVIEMBRE 2019'!$H$2129+'[3]NOVIEMBRE 2019'!$H$2130+'[3]NOVIEMBRE 2019'!$H$2132+'[3]NOVIEMBRE 2019'!$H$2141+'[3]NOVIEMBRE 2019'!$H$2142+'[3]NOVIEMBRE 2019'!$H$2143+'[3]NOVIEMBRE 2019'!$H$2147+'[3]NOVIEMBRE 2019'!$H$2155+'[3]NOVIEMBRE 2019'!$H$2156+'[3]NOVIEMBRE 2019'!$H$2158+'[3]NOVIEMBRE 2019'!$H$2163+'[3]NOVIEMBRE 2019'!$H$2167+'[3]NOVIEMBRE 2019'!$H$2168+'[3]NOVIEMBRE 2019'!$H$2169+'[3]NOVIEMBRE 2019'!$H$2178+'[3]NOVIEMBRE 2019'!$H$2179+'[3]NOVIEMBRE 2019'!$H$2180+'[3]NOVIEMBRE 2019'!$H$2181+'[3]NOVIEMBRE 2019'!$H$2182+'[3]NOVIEMBRE 2019'!$H$2183+'[3]NOVIEMBRE 2019'!$H$2184+'[3]NOVIEMBRE 2019'!$H$2185+'[3]NOVIEMBRE 2019'!$H$2186+'[3]NOVIEMBRE 2019'!$H$2187+'[3]NOVIEMBRE 2019'!$H$2188</f>
        <v>59146375</v>
      </c>
      <c r="DB47" s="43">
        <f t="shared" si="10"/>
        <v>0.38410680072751324</v>
      </c>
      <c r="DC47" s="42">
        <f t="shared" si="51"/>
        <v>67448033</v>
      </c>
      <c r="DD47" s="42">
        <f t="shared" si="52"/>
        <v>0</v>
      </c>
      <c r="DE47" s="42">
        <f t="shared" si="52"/>
        <v>0</v>
      </c>
      <c r="DF47" s="42">
        <f t="shared" si="52"/>
        <v>0</v>
      </c>
      <c r="DG47" s="42">
        <f t="shared" si="52"/>
        <v>0</v>
      </c>
      <c r="DH47" s="42">
        <f t="shared" si="52"/>
        <v>0</v>
      </c>
      <c r="DI47" s="42">
        <f t="shared" si="52"/>
        <v>0</v>
      </c>
      <c r="DJ47" s="42">
        <f t="shared" si="52"/>
        <v>0</v>
      </c>
      <c r="DK47" s="42">
        <f t="shared" si="52"/>
        <v>997327</v>
      </c>
      <c r="DL47" s="42">
        <f t="shared" si="52"/>
        <v>0</v>
      </c>
      <c r="DM47" s="42">
        <f t="shared" si="52"/>
        <v>0</v>
      </c>
      <c r="DN47" s="42">
        <f t="shared" si="52"/>
        <v>0</v>
      </c>
      <c r="DO47" s="42">
        <f t="shared" si="52"/>
        <v>0</v>
      </c>
      <c r="DP47" s="42">
        <f t="shared" si="52"/>
        <v>0</v>
      </c>
      <c r="DQ47" s="42">
        <f t="shared" si="52"/>
        <v>0</v>
      </c>
      <c r="DR47" s="42">
        <f t="shared" si="52"/>
        <v>0</v>
      </c>
      <c r="DS47" s="42">
        <f t="shared" si="52"/>
        <v>0</v>
      </c>
      <c r="DT47" s="42">
        <f t="shared" si="53"/>
        <v>0</v>
      </c>
      <c r="DU47" s="42">
        <f t="shared" si="53"/>
        <v>0</v>
      </c>
      <c r="DV47" s="42">
        <f t="shared" si="53"/>
        <v>0</v>
      </c>
      <c r="DW47" s="42">
        <f t="shared" si="53"/>
        <v>0</v>
      </c>
      <c r="DX47" s="42">
        <f t="shared" si="53"/>
        <v>0</v>
      </c>
      <c r="DY47" s="42"/>
      <c r="DZ47" s="42">
        <f t="shared" si="54"/>
        <v>66450706</v>
      </c>
      <c r="EB47" s="47">
        <f t="shared" si="15"/>
        <v>175597081</v>
      </c>
      <c r="EC47" s="47">
        <f t="shared" si="16"/>
        <v>175597081</v>
      </c>
      <c r="ED47" s="47">
        <f t="shared" si="17"/>
        <v>175597081</v>
      </c>
      <c r="EJ47" s="74">
        <f t="shared" si="55"/>
        <v>108149048</v>
      </c>
      <c r="EK47" s="241"/>
    </row>
    <row r="48" spans="1:141" ht="29.4" hidden="1" customHeight="1" x14ac:dyDescent="0.3">
      <c r="A48" s="48"/>
      <c r="B48" s="80"/>
      <c r="C48" s="38" t="s">
        <v>157</v>
      </c>
      <c r="D48" s="50" t="s">
        <v>158</v>
      </c>
      <c r="E48" s="40">
        <v>410</v>
      </c>
      <c r="F48" s="41" t="s">
        <v>139</v>
      </c>
      <c r="G48" s="42">
        <f t="shared" si="42"/>
        <v>0</v>
      </c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3" t="e">
        <f t="shared" si="32"/>
        <v>#DIV/0!</v>
      </c>
      <c r="AF48" s="42">
        <f t="shared" si="43"/>
        <v>0</v>
      </c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3" t="e">
        <f t="shared" si="3"/>
        <v>#DIV/0!</v>
      </c>
      <c r="BE48" s="42">
        <f t="shared" si="44"/>
        <v>0</v>
      </c>
      <c r="BF48" s="42">
        <f t="shared" si="45"/>
        <v>0</v>
      </c>
      <c r="BG48" s="42">
        <f t="shared" si="45"/>
        <v>0</v>
      </c>
      <c r="BH48" s="42">
        <f t="shared" si="45"/>
        <v>0</v>
      </c>
      <c r="BI48" s="42">
        <f t="shared" si="46"/>
        <v>0</v>
      </c>
      <c r="BJ48" s="42">
        <f t="shared" si="47"/>
        <v>0</v>
      </c>
      <c r="BK48" s="42">
        <f t="shared" si="47"/>
        <v>0</v>
      </c>
      <c r="BL48" s="42">
        <f t="shared" si="47"/>
        <v>0</v>
      </c>
      <c r="BM48" s="42">
        <f t="shared" si="47"/>
        <v>0</v>
      </c>
      <c r="BN48" s="42">
        <f t="shared" si="47"/>
        <v>0</v>
      </c>
      <c r="BO48" s="42">
        <f t="shared" si="47"/>
        <v>0</v>
      </c>
      <c r="BP48" s="42">
        <f t="shared" si="47"/>
        <v>0</v>
      </c>
      <c r="BQ48" s="42">
        <f t="shared" si="47"/>
        <v>0</v>
      </c>
      <c r="BR48" s="42">
        <f t="shared" si="47"/>
        <v>0</v>
      </c>
      <c r="BS48" s="42">
        <f t="shared" si="47"/>
        <v>0</v>
      </c>
      <c r="BT48" s="42">
        <f t="shared" si="47"/>
        <v>0</v>
      </c>
      <c r="BU48" s="42">
        <f t="shared" si="47"/>
        <v>0</v>
      </c>
      <c r="BV48" s="42">
        <f t="shared" si="47"/>
        <v>0</v>
      </c>
      <c r="BW48" s="42">
        <f t="shared" si="47"/>
        <v>0</v>
      </c>
      <c r="BX48" s="42">
        <f t="shared" si="47"/>
        <v>0</v>
      </c>
      <c r="BY48" s="42">
        <f t="shared" si="47"/>
        <v>0</v>
      </c>
      <c r="BZ48" s="42">
        <f t="shared" si="48"/>
        <v>0</v>
      </c>
      <c r="CA48" s="42"/>
      <c r="CB48" s="42">
        <f t="shared" si="49"/>
        <v>0</v>
      </c>
      <c r="CC48" s="43" t="e">
        <f t="shared" si="8"/>
        <v>#DIV/0!</v>
      </c>
      <c r="CD48" s="42">
        <f t="shared" si="50"/>
        <v>0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3" t="e">
        <f t="shared" si="10"/>
        <v>#DIV/0!</v>
      </c>
      <c r="DC48" s="42">
        <f t="shared" si="51"/>
        <v>0</v>
      </c>
      <c r="DD48" s="42">
        <f t="shared" si="52"/>
        <v>0</v>
      </c>
      <c r="DE48" s="42">
        <f t="shared" si="52"/>
        <v>0</v>
      </c>
      <c r="DF48" s="42">
        <f t="shared" si="52"/>
        <v>0</v>
      </c>
      <c r="DG48" s="42">
        <f t="shared" si="52"/>
        <v>0</v>
      </c>
      <c r="DH48" s="42">
        <f t="shared" si="52"/>
        <v>0</v>
      </c>
      <c r="DI48" s="42">
        <f t="shared" si="52"/>
        <v>0</v>
      </c>
      <c r="DJ48" s="42">
        <f t="shared" si="52"/>
        <v>0</v>
      </c>
      <c r="DK48" s="42">
        <f t="shared" si="52"/>
        <v>0</v>
      </c>
      <c r="DL48" s="42">
        <f t="shared" si="52"/>
        <v>0</v>
      </c>
      <c r="DM48" s="42">
        <f t="shared" si="52"/>
        <v>0</v>
      </c>
      <c r="DN48" s="42">
        <f t="shared" si="52"/>
        <v>0</v>
      </c>
      <c r="DO48" s="42">
        <f t="shared" si="52"/>
        <v>0</v>
      </c>
      <c r="DP48" s="42">
        <f t="shared" si="52"/>
        <v>0</v>
      </c>
      <c r="DQ48" s="42">
        <f t="shared" si="52"/>
        <v>0</v>
      </c>
      <c r="DR48" s="42">
        <f t="shared" si="52"/>
        <v>0</v>
      </c>
      <c r="DS48" s="42">
        <f t="shared" si="52"/>
        <v>0</v>
      </c>
      <c r="DT48" s="42">
        <f t="shared" si="53"/>
        <v>0</v>
      </c>
      <c r="DU48" s="42">
        <f t="shared" si="53"/>
        <v>0</v>
      </c>
      <c r="DV48" s="42">
        <f t="shared" si="53"/>
        <v>0</v>
      </c>
      <c r="DW48" s="42">
        <f t="shared" si="53"/>
        <v>0</v>
      </c>
      <c r="DX48" s="42">
        <f t="shared" si="53"/>
        <v>0</v>
      </c>
      <c r="DY48" s="42"/>
      <c r="DZ48" s="42">
        <f t="shared" si="54"/>
        <v>0</v>
      </c>
      <c r="EB48" s="47">
        <f t="shared" si="15"/>
        <v>0</v>
      </c>
      <c r="EC48" s="47">
        <f t="shared" si="16"/>
        <v>0</v>
      </c>
      <c r="ED48" s="47">
        <f t="shared" si="17"/>
        <v>0</v>
      </c>
      <c r="EJ48" s="74">
        <f t="shared" si="55"/>
        <v>0</v>
      </c>
      <c r="EK48" s="241"/>
    </row>
    <row r="49" spans="1:141" ht="41.4" hidden="1" customHeight="1" x14ac:dyDescent="0.3">
      <c r="A49" s="48"/>
      <c r="B49" s="80"/>
      <c r="C49" s="38" t="s">
        <v>159</v>
      </c>
      <c r="D49" s="50" t="s">
        <v>160</v>
      </c>
      <c r="E49" s="40">
        <v>410</v>
      </c>
      <c r="F49" s="41" t="s">
        <v>139</v>
      </c>
      <c r="G49" s="42">
        <f t="shared" si="42"/>
        <v>593750584</v>
      </c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>
        <f>20000000</f>
        <v>20000000</v>
      </c>
      <c r="T49" s="42"/>
      <c r="U49" s="42"/>
      <c r="V49" s="42"/>
      <c r="W49" s="42"/>
      <c r="X49" s="42">
        <v>90000000</v>
      </c>
      <c r="Y49" s="42"/>
      <c r="Z49" s="42">
        <v>29997719</v>
      </c>
      <c r="AA49" s="42"/>
      <c r="AB49" s="42">
        <f>91899873+18823995+62217986+22078947+107278029+32084030+88067217+31302788</f>
        <v>453752865</v>
      </c>
      <c r="AC49" s="42"/>
      <c r="AD49" s="42"/>
      <c r="AE49" s="43">
        <f t="shared" si="32"/>
        <v>0.68315113606692468</v>
      </c>
      <c r="AF49" s="42">
        <f t="shared" si="43"/>
        <v>405621386</v>
      </c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>
        <f>+'[7]MAYO 2019'!$T$904</f>
        <v>10000000</v>
      </c>
      <c r="AS49" s="42"/>
      <c r="AT49" s="42"/>
      <c r="AU49" s="42"/>
      <c r="AV49" s="42"/>
      <c r="AW49" s="42">
        <f>+'[10]ENERO 2019'!$Y$443</f>
        <v>90000000</v>
      </c>
      <c r="AX49" s="42"/>
      <c r="AY49" s="42">
        <f>+'[8]AGOSTO 2019'!$AA$1506</f>
        <v>19997719</v>
      </c>
      <c r="AZ49" s="42"/>
      <c r="BA49" s="42">
        <f>+'[3]NOVIEMBRE 2019'!$AD$2202</f>
        <v>285623667</v>
      </c>
      <c r="BB49" s="42"/>
      <c r="BC49" s="42"/>
      <c r="BD49" s="43">
        <f t="shared" si="3"/>
        <v>0.31684886393307532</v>
      </c>
      <c r="BE49" s="42">
        <f t="shared" si="44"/>
        <v>188129198</v>
      </c>
      <c r="BF49" s="42">
        <f t="shared" si="45"/>
        <v>0</v>
      </c>
      <c r="BG49" s="42">
        <f t="shared" si="45"/>
        <v>0</v>
      </c>
      <c r="BH49" s="42">
        <f t="shared" si="45"/>
        <v>0</v>
      </c>
      <c r="BI49" s="42">
        <f t="shared" si="46"/>
        <v>0</v>
      </c>
      <c r="BJ49" s="42">
        <f t="shared" si="47"/>
        <v>0</v>
      </c>
      <c r="BK49" s="42">
        <f t="shared" si="47"/>
        <v>0</v>
      </c>
      <c r="BL49" s="42">
        <f t="shared" si="47"/>
        <v>0</v>
      </c>
      <c r="BM49" s="42">
        <f t="shared" si="47"/>
        <v>0</v>
      </c>
      <c r="BN49" s="42">
        <f t="shared" si="47"/>
        <v>0</v>
      </c>
      <c r="BO49" s="42">
        <f t="shared" si="47"/>
        <v>0</v>
      </c>
      <c r="BP49" s="42">
        <f t="shared" si="47"/>
        <v>0</v>
      </c>
      <c r="BQ49" s="42">
        <f t="shared" si="47"/>
        <v>10000000</v>
      </c>
      <c r="BR49" s="42">
        <f t="shared" si="47"/>
        <v>0</v>
      </c>
      <c r="BS49" s="42">
        <f t="shared" si="47"/>
        <v>0</v>
      </c>
      <c r="BT49" s="42">
        <f t="shared" si="47"/>
        <v>0</v>
      </c>
      <c r="BU49" s="42">
        <f t="shared" si="47"/>
        <v>0</v>
      </c>
      <c r="BV49" s="42">
        <f t="shared" si="47"/>
        <v>0</v>
      </c>
      <c r="BW49" s="42">
        <f t="shared" si="47"/>
        <v>0</v>
      </c>
      <c r="BX49" s="42">
        <f t="shared" si="47"/>
        <v>10000000</v>
      </c>
      <c r="BY49" s="42">
        <f t="shared" si="47"/>
        <v>0</v>
      </c>
      <c r="BZ49" s="42">
        <f t="shared" si="48"/>
        <v>168129198</v>
      </c>
      <c r="CA49" s="42"/>
      <c r="CB49" s="42">
        <f t="shared" si="49"/>
        <v>0</v>
      </c>
      <c r="CC49" s="43">
        <f t="shared" si="8"/>
        <v>0.56499229818020691</v>
      </c>
      <c r="CD49" s="42">
        <f t="shared" si="50"/>
        <v>335464507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>
        <f>+'[8]AGOSTO 2019'!$H$1575</f>
        <v>10000000</v>
      </c>
      <c r="CQ49" s="42"/>
      <c r="CR49" s="42"/>
      <c r="CS49" s="42"/>
      <c r="CT49" s="42"/>
      <c r="CU49" s="42">
        <f>+'[3]NOVIEMBRE 2019'!$H$2203+'[3]NOVIEMBRE 2019'!$H$2214+'[3]NOVIEMBRE 2019'!$Z$2228</f>
        <v>80031559</v>
      </c>
      <c r="CV49" s="42"/>
      <c r="CW49" s="42">
        <f>+'[3]NOVIEMBRE 2019'!$H$2313</f>
        <v>19879424</v>
      </c>
      <c r="CX49" s="42"/>
      <c r="CY49" s="42">
        <f>+'[3]NOVIEMBRE 2019'!$AD$2228-'[3]NOVIEMBRE 2019'!$I$2228+'[3]NOVIEMBRE 2019'!$H$2261+'[3]NOVIEMBRE 2019'!$H$2286+'[3]NOVIEMBRE 2019'!$H$2301+'[3]NOVIEMBRE 2019'!$H$2305</f>
        <v>225553524</v>
      </c>
      <c r="CZ49" s="42"/>
      <c r="DA49" s="42"/>
      <c r="DB49" s="43">
        <f t="shared" si="10"/>
        <v>0.43500770181979309</v>
      </c>
      <c r="DC49" s="42">
        <f t="shared" si="51"/>
        <v>258286077</v>
      </c>
      <c r="DD49" s="42">
        <f t="shared" si="52"/>
        <v>0</v>
      </c>
      <c r="DE49" s="42">
        <f t="shared" si="52"/>
        <v>0</v>
      </c>
      <c r="DF49" s="42">
        <f t="shared" si="52"/>
        <v>0</v>
      </c>
      <c r="DG49" s="42">
        <f t="shared" si="52"/>
        <v>0</v>
      </c>
      <c r="DH49" s="42">
        <f t="shared" si="52"/>
        <v>0</v>
      </c>
      <c r="DI49" s="42">
        <f t="shared" si="52"/>
        <v>0</v>
      </c>
      <c r="DJ49" s="42">
        <f t="shared" si="52"/>
        <v>0</v>
      </c>
      <c r="DK49" s="42">
        <f t="shared" si="52"/>
        <v>0</v>
      </c>
      <c r="DL49" s="42">
        <f t="shared" si="52"/>
        <v>0</v>
      </c>
      <c r="DM49" s="42">
        <f t="shared" si="52"/>
        <v>0</v>
      </c>
      <c r="DN49" s="42">
        <f t="shared" si="52"/>
        <v>0</v>
      </c>
      <c r="DO49" s="42">
        <f t="shared" si="52"/>
        <v>10000000</v>
      </c>
      <c r="DP49" s="42">
        <f t="shared" si="52"/>
        <v>0</v>
      </c>
      <c r="DQ49" s="42">
        <f t="shared" si="52"/>
        <v>0</v>
      </c>
      <c r="DR49" s="42">
        <f t="shared" si="52"/>
        <v>0</v>
      </c>
      <c r="DS49" s="42">
        <f t="shared" si="52"/>
        <v>0</v>
      </c>
      <c r="DT49" s="42">
        <f t="shared" si="53"/>
        <v>9968441</v>
      </c>
      <c r="DU49" s="42">
        <f t="shared" si="53"/>
        <v>0</v>
      </c>
      <c r="DV49" s="42">
        <f t="shared" si="53"/>
        <v>10118295</v>
      </c>
      <c r="DW49" s="42">
        <f t="shared" si="53"/>
        <v>0</v>
      </c>
      <c r="DX49" s="42">
        <f t="shared" si="53"/>
        <v>228199341</v>
      </c>
      <c r="DY49" s="42"/>
      <c r="DZ49" s="42">
        <f t="shared" si="54"/>
        <v>0</v>
      </c>
      <c r="EB49" s="47">
        <f t="shared" si="15"/>
        <v>593750584</v>
      </c>
      <c r="EC49" s="47">
        <f t="shared" si="16"/>
        <v>593750584</v>
      </c>
      <c r="ED49" s="47">
        <f t="shared" si="17"/>
        <v>593750584</v>
      </c>
      <c r="EJ49" s="74">
        <f t="shared" si="55"/>
        <v>335464507</v>
      </c>
      <c r="EK49" s="241"/>
    </row>
    <row r="50" spans="1:141" ht="31.2" hidden="1" customHeight="1" x14ac:dyDescent="0.3">
      <c r="A50" s="48"/>
      <c r="B50" s="80"/>
      <c r="C50" s="38" t="s">
        <v>161</v>
      </c>
      <c r="D50" s="50" t="s">
        <v>162</v>
      </c>
      <c r="E50" s="40">
        <v>410</v>
      </c>
      <c r="F50" s="41" t="s">
        <v>153</v>
      </c>
      <c r="G50" s="42">
        <f t="shared" si="42"/>
        <v>0</v>
      </c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3" t="e">
        <f t="shared" si="32"/>
        <v>#DIV/0!</v>
      </c>
      <c r="AF50" s="42">
        <f t="shared" si="43"/>
        <v>0</v>
      </c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3" t="e">
        <f t="shared" si="3"/>
        <v>#DIV/0!</v>
      </c>
      <c r="BE50" s="42">
        <f t="shared" si="44"/>
        <v>0</v>
      </c>
      <c r="BF50" s="42">
        <f t="shared" si="45"/>
        <v>0</v>
      </c>
      <c r="BG50" s="42">
        <f t="shared" si="45"/>
        <v>0</v>
      </c>
      <c r="BH50" s="42">
        <f t="shared" si="45"/>
        <v>0</v>
      </c>
      <c r="BI50" s="42">
        <f t="shared" si="46"/>
        <v>0</v>
      </c>
      <c r="BJ50" s="42">
        <f t="shared" si="47"/>
        <v>0</v>
      </c>
      <c r="BK50" s="42">
        <f t="shared" si="47"/>
        <v>0</v>
      </c>
      <c r="BL50" s="42">
        <f t="shared" si="47"/>
        <v>0</v>
      </c>
      <c r="BM50" s="42">
        <f t="shared" si="47"/>
        <v>0</v>
      </c>
      <c r="BN50" s="42">
        <f t="shared" si="47"/>
        <v>0</v>
      </c>
      <c r="BO50" s="42">
        <f t="shared" si="47"/>
        <v>0</v>
      </c>
      <c r="BP50" s="42">
        <f t="shared" si="47"/>
        <v>0</v>
      </c>
      <c r="BQ50" s="42">
        <f t="shared" si="47"/>
        <v>0</v>
      </c>
      <c r="BR50" s="42">
        <f t="shared" si="47"/>
        <v>0</v>
      </c>
      <c r="BS50" s="42">
        <f t="shared" si="47"/>
        <v>0</v>
      </c>
      <c r="BT50" s="42">
        <f t="shared" si="47"/>
        <v>0</v>
      </c>
      <c r="BU50" s="42">
        <f t="shared" si="47"/>
        <v>0</v>
      </c>
      <c r="BV50" s="42">
        <f t="shared" si="47"/>
        <v>0</v>
      </c>
      <c r="BW50" s="42">
        <f t="shared" si="47"/>
        <v>0</v>
      </c>
      <c r="BX50" s="42">
        <f t="shared" si="47"/>
        <v>0</v>
      </c>
      <c r="BY50" s="42">
        <f t="shared" si="47"/>
        <v>0</v>
      </c>
      <c r="BZ50" s="42">
        <f t="shared" si="48"/>
        <v>0</v>
      </c>
      <c r="CA50" s="42"/>
      <c r="CB50" s="42">
        <f t="shared" si="49"/>
        <v>0</v>
      </c>
      <c r="CC50" s="43" t="e">
        <f t="shared" si="8"/>
        <v>#DIV/0!</v>
      </c>
      <c r="CD50" s="42">
        <f t="shared" si="50"/>
        <v>0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3" t="e">
        <f t="shared" si="10"/>
        <v>#DIV/0!</v>
      </c>
      <c r="DC50" s="42">
        <f t="shared" si="51"/>
        <v>0</v>
      </c>
      <c r="DD50" s="42">
        <f t="shared" si="52"/>
        <v>0</v>
      </c>
      <c r="DE50" s="42">
        <f t="shared" si="52"/>
        <v>0</v>
      </c>
      <c r="DF50" s="42">
        <f t="shared" si="52"/>
        <v>0</v>
      </c>
      <c r="DG50" s="42">
        <f t="shared" si="52"/>
        <v>0</v>
      </c>
      <c r="DH50" s="42">
        <f t="shared" si="52"/>
        <v>0</v>
      </c>
      <c r="DI50" s="42">
        <f t="shared" si="52"/>
        <v>0</v>
      </c>
      <c r="DJ50" s="42">
        <f t="shared" si="52"/>
        <v>0</v>
      </c>
      <c r="DK50" s="42">
        <f t="shared" si="52"/>
        <v>0</v>
      </c>
      <c r="DL50" s="42">
        <f t="shared" si="52"/>
        <v>0</v>
      </c>
      <c r="DM50" s="42">
        <f t="shared" si="52"/>
        <v>0</v>
      </c>
      <c r="DN50" s="42">
        <f t="shared" si="52"/>
        <v>0</v>
      </c>
      <c r="DO50" s="42">
        <f t="shared" si="52"/>
        <v>0</v>
      </c>
      <c r="DP50" s="42">
        <f t="shared" si="52"/>
        <v>0</v>
      </c>
      <c r="DQ50" s="42">
        <f t="shared" si="52"/>
        <v>0</v>
      </c>
      <c r="DR50" s="42">
        <f t="shared" si="52"/>
        <v>0</v>
      </c>
      <c r="DS50" s="42">
        <f t="shared" si="52"/>
        <v>0</v>
      </c>
      <c r="DT50" s="42">
        <f t="shared" si="53"/>
        <v>0</v>
      </c>
      <c r="DU50" s="42">
        <f t="shared" si="53"/>
        <v>0</v>
      </c>
      <c r="DV50" s="42">
        <f t="shared" si="53"/>
        <v>0</v>
      </c>
      <c r="DW50" s="42">
        <f t="shared" si="53"/>
        <v>0</v>
      </c>
      <c r="DX50" s="42">
        <f t="shared" si="53"/>
        <v>0</v>
      </c>
      <c r="DY50" s="42"/>
      <c r="DZ50" s="42">
        <f t="shared" si="54"/>
        <v>0</v>
      </c>
      <c r="EB50" s="47">
        <f t="shared" si="15"/>
        <v>0</v>
      </c>
      <c r="EC50" s="47">
        <f t="shared" si="16"/>
        <v>0</v>
      </c>
      <c r="ED50" s="47">
        <f t="shared" si="17"/>
        <v>0</v>
      </c>
      <c r="EJ50" s="74">
        <f t="shared" si="55"/>
        <v>0</v>
      </c>
      <c r="EK50" s="241"/>
    </row>
    <row r="51" spans="1:141" ht="19.8" hidden="1" customHeight="1" x14ac:dyDescent="0.3">
      <c r="A51" s="48"/>
      <c r="B51" s="80"/>
      <c r="C51" s="38" t="s">
        <v>163</v>
      </c>
      <c r="D51" s="50" t="s">
        <v>164</v>
      </c>
      <c r="E51" s="40">
        <v>410</v>
      </c>
      <c r="F51" s="41" t="s">
        <v>165</v>
      </c>
      <c r="G51" s="42">
        <f t="shared" si="42"/>
        <v>106000000</v>
      </c>
      <c r="H51" s="42"/>
      <c r="I51" s="42"/>
      <c r="J51" s="42"/>
      <c r="K51" s="42"/>
      <c r="L51" s="42"/>
      <c r="M51" s="42"/>
      <c r="N51" s="42"/>
      <c r="O51" s="42">
        <f>40000000-15000000-17000000</f>
        <v>8000000</v>
      </c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>
        <f>88000000+25000000-15000000</f>
        <v>98000000</v>
      </c>
      <c r="AE51" s="43">
        <f t="shared" si="32"/>
        <v>0.54527570754716981</v>
      </c>
      <c r="AF51" s="42">
        <f t="shared" si="43"/>
        <v>57799225</v>
      </c>
      <c r="AG51" s="42"/>
      <c r="AH51" s="42"/>
      <c r="AI51" s="42"/>
      <c r="AJ51" s="42"/>
      <c r="AK51" s="42"/>
      <c r="AL51" s="42"/>
      <c r="AM51" s="42"/>
      <c r="AN51" s="42">
        <f>+'[3]NOVIEMBRE 2019'!$Q$2334</f>
        <v>4000000</v>
      </c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>
        <f>+'[1]OCTUBRE 2019'!$AG$2119</f>
        <v>53799225</v>
      </c>
      <c r="BD51" s="43">
        <f t="shared" si="3"/>
        <v>0.45472429245283019</v>
      </c>
      <c r="BE51" s="42">
        <f t="shared" si="44"/>
        <v>48200775</v>
      </c>
      <c r="BF51" s="42">
        <f t="shared" si="45"/>
        <v>0</v>
      </c>
      <c r="BG51" s="42">
        <f t="shared" si="45"/>
        <v>0</v>
      </c>
      <c r="BH51" s="42">
        <f t="shared" si="45"/>
        <v>0</v>
      </c>
      <c r="BI51" s="42">
        <f t="shared" si="46"/>
        <v>0</v>
      </c>
      <c r="BJ51" s="42">
        <f t="shared" si="47"/>
        <v>0</v>
      </c>
      <c r="BK51" s="42">
        <f t="shared" si="47"/>
        <v>0</v>
      </c>
      <c r="BL51" s="42">
        <f t="shared" si="47"/>
        <v>0</v>
      </c>
      <c r="BM51" s="42">
        <f t="shared" si="47"/>
        <v>4000000</v>
      </c>
      <c r="BN51" s="42">
        <f t="shared" si="47"/>
        <v>0</v>
      </c>
      <c r="BO51" s="42">
        <f t="shared" si="47"/>
        <v>0</v>
      </c>
      <c r="BP51" s="42">
        <f t="shared" si="47"/>
        <v>0</v>
      </c>
      <c r="BQ51" s="42">
        <f t="shared" si="47"/>
        <v>0</v>
      </c>
      <c r="BR51" s="42">
        <f t="shared" si="47"/>
        <v>0</v>
      </c>
      <c r="BS51" s="42">
        <f t="shared" si="47"/>
        <v>0</v>
      </c>
      <c r="BT51" s="42">
        <f t="shared" si="47"/>
        <v>0</v>
      </c>
      <c r="BU51" s="42">
        <f t="shared" si="47"/>
        <v>0</v>
      </c>
      <c r="BV51" s="42">
        <f t="shared" si="47"/>
        <v>0</v>
      </c>
      <c r="BW51" s="42">
        <f t="shared" si="47"/>
        <v>0</v>
      </c>
      <c r="BX51" s="42">
        <f t="shared" si="47"/>
        <v>0</v>
      </c>
      <c r="BY51" s="42">
        <f t="shared" si="47"/>
        <v>0</v>
      </c>
      <c r="BZ51" s="42">
        <f t="shared" si="48"/>
        <v>0</v>
      </c>
      <c r="CA51" s="42"/>
      <c r="CB51" s="42">
        <f t="shared" si="49"/>
        <v>44200775</v>
      </c>
      <c r="CC51" s="43">
        <f t="shared" si="8"/>
        <v>0.52640778301886793</v>
      </c>
      <c r="CD51" s="42">
        <f t="shared" si="50"/>
        <v>55799225</v>
      </c>
      <c r="CE51" s="42"/>
      <c r="CF51" s="42"/>
      <c r="CG51" s="42"/>
      <c r="CH51" s="42"/>
      <c r="CI51" s="42"/>
      <c r="CJ51" s="42"/>
      <c r="CK51" s="42"/>
      <c r="CL51" s="42">
        <f>+'[3]NOVIEMBRE 2019'!$H$2372</f>
        <v>2000000</v>
      </c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>
        <f>+'[3]NOVIEMBRE 2019'!$H$2335+'[3]NOVIEMBRE 2019'!$H$2337+'[3]NOVIEMBRE 2019'!$H$2339+'[3]NOVIEMBRE 2019'!$H$2342+'[3]NOVIEMBRE 2019'!$H$2345+'[3]NOVIEMBRE 2019'!$H$2346+'[3]NOVIEMBRE 2019'!$H$2347+'[3]NOVIEMBRE 2019'!$H$2348+'[3]NOVIEMBRE 2019'!$H$2349+'[3]NOVIEMBRE 2019'!$H$2350+'[3]NOVIEMBRE 2019'!$H$2355+'[3]NOVIEMBRE 2019'!$H$2358+'[3]NOVIEMBRE 2019'!$H$2361+'[3]NOVIEMBRE 2019'!$H$2363+'[3]NOVIEMBRE 2019'!$H$2366+'[3]NOVIEMBRE 2019'!$H$2369+'[3]NOVIEMBRE 2019'!$H$2371+'[3]NOVIEMBRE 2019'!$H$2376+'[3]NOVIEMBRE 2019'!$H$2377</f>
        <v>53799225</v>
      </c>
      <c r="DB51" s="43">
        <f t="shared" si="10"/>
        <v>0.47359221698113207</v>
      </c>
      <c r="DC51" s="42">
        <f t="shared" si="51"/>
        <v>50200775</v>
      </c>
      <c r="DD51" s="42">
        <f t="shared" si="52"/>
        <v>0</v>
      </c>
      <c r="DE51" s="42">
        <f t="shared" si="52"/>
        <v>0</v>
      </c>
      <c r="DF51" s="42">
        <f t="shared" si="52"/>
        <v>0</v>
      </c>
      <c r="DG51" s="42">
        <f t="shared" si="52"/>
        <v>0</v>
      </c>
      <c r="DH51" s="42">
        <f t="shared" si="52"/>
        <v>0</v>
      </c>
      <c r="DI51" s="42">
        <f t="shared" si="52"/>
        <v>0</v>
      </c>
      <c r="DJ51" s="42">
        <f t="shared" si="52"/>
        <v>0</v>
      </c>
      <c r="DK51" s="42">
        <f t="shared" si="52"/>
        <v>6000000</v>
      </c>
      <c r="DL51" s="42">
        <f t="shared" si="52"/>
        <v>0</v>
      </c>
      <c r="DM51" s="42">
        <f t="shared" si="52"/>
        <v>0</v>
      </c>
      <c r="DN51" s="42">
        <f t="shared" si="52"/>
        <v>0</v>
      </c>
      <c r="DO51" s="42">
        <f t="shared" si="52"/>
        <v>0</v>
      </c>
      <c r="DP51" s="42">
        <f t="shared" si="52"/>
        <v>0</v>
      </c>
      <c r="DQ51" s="42">
        <f t="shared" si="52"/>
        <v>0</v>
      </c>
      <c r="DR51" s="42">
        <f t="shared" si="52"/>
        <v>0</v>
      </c>
      <c r="DS51" s="42">
        <f t="shared" si="52"/>
        <v>0</v>
      </c>
      <c r="DT51" s="42">
        <f t="shared" si="53"/>
        <v>0</v>
      </c>
      <c r="DU51" s="42">
        <f t="shared" si="53"/>
        <v>0</v>
      </c>
      <c r="DV51" s="42">
        <f t="shared" si="53"/>
        <v>0</v>
      </c>
      <c r="DW51" s="42">
        <f t="shared" si="53"/>
        <v>0</v>
      </c>
      <c r="DX51" s="42">
        <f t="shared" si="53"/>
        <v>0</v>
      </c>
      <c r="DY51" s="42"/>
      <c r="DZ51" s="42">
        <f t="shared" si="54"/>
        <v>44200775</v>
      </c>
      <c r="EB51" s="47">
        <f t="shared" si="15"/>
        <v>106000000</v>
      </c>
      <c r="EC51" s="47">
        <f t="shared" si="16"/>
        <v>106000000</v>
      </c>
      <c r="ED51" s="47">
        <f t="shared" si="17"/>
        <v>106000000</v>
      </c>
      <c r="EJ51" s="74">
        <f t="shared" si="55"/>
        <v>55799225</v>
      </c>
      <c r="EK51" s="241"/>
    </row>
    <row r="52" spans="1:141" ht="32.25" hidden="1" customHeight="1" x14ac:dyDescent="0.3">
      <c r="A52" s="48"/>
      <c r="B52" s="53"/>
      <c r="C52" s="38" t="s">
        <v>166</v>
      </c>
      <c r="D52" s="50" t="s">
        <v>167</v>
      </c>
      <c r="E52" s="40">
        <v>410</v>
      </c>
      <c r="F52" s="60" t="s">
        <v>139</v>
      </c>
      <c r="G52" s="42">
        <f t="shared" si="42"/>
        <v>6000000</v>
      </c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>
        <f>6000000</f>
        <v>6000000</v>
      </c>
      <c r="AA52" s="42"/>
      <c r="AB52" s="42"/>
      <c r="AC52" s="42"/>
      <c r="AD52" s="42"/>
      <c r="AE52" s="43">
        <f t="shared" si="32"/>
        <v>0.44443250000000001</v>
      </c>
      <c r="AF52" s="42">
        <f t="shared" si="43"/>
        <v>2666595</v>
      </c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>
        <f>+'[1]OCTUBRE 2019'!$AB$2167</f>
        <v>2666595</v>
      </c>
      <c r="AZ52" s="42"/>
      <c r="BA52" s="42"/>
      <c r="BB52" s="42"/>
      <c r="BC52" s="42"/>
      <c r="BD52" s="43">
        <f t="shared" si="3"/>
        <v>0.55556749999999999</v>
      </c>
      <c r="BE52" s="42">
        <f t="shared" si="44"/>
        <v>3333405</v>
      </c>
      <c r="BF52" s="42">
        <f t="shared" si="45"/>
        <v>0</v>
      </c>
      <c r="BG52" s="42">
        <f t="shared" si="45"/>
        <v>0</v>
      </c>
      <c r="BH52" s="42">
        <f t="shared" si="45"/>
        <v>0</v>
      </c>
      <c r="BI52" s="42">
        <f t="shared" si="46"/>
        <v>0</v>
      </c>
      <c r="BJ52" s="42">
        <f t="shared" si="47"/>
        <v>0</v>
      </c>
      <c r="BK52" s="42">
        <f t="shared" si="47"/>
        <v>0</v>
      </c>
      <c r="BL52" s="42">
        <f t="shared" si="47"/>
        <v>0</v>
      </c>
      <c r="BM52" s="42">
        <f t="shared" si="47"/>
        <v>0</v>
      </c>
      <c r="BN52" s="42">
        <f t="shared" si="47"/>
        <v>0</v>
      </c>
      <c r="BO52" s="42">
        <f t="shared" si="47"/>
        <v>0</v>
      </c>
      <c r="BP52" s="42">
        <f t="shared" si="47"/>
        <v>0</v>
      </c>
      <c r="BQ52" s="42">
        <f t="shared" si="47"/>
        <v>0</v>
      </c>
      <c r="BR52" s="42">
        <f t="shared" si="47"/>
        <v>0</v>
      </c>
      <c r="BS52" s="42">
        <f t="shared" si="47"/>
        <v>0</v>
      </c>
      <c r="BT52" s="42">
        <f t="shared" si="47"/>
        <v>0</v>
      </c>
      <c r="BU52" s="42">
        <f t="shared" si="47"/>
        <v>0</v>
      </c>
      <c r="BV52" s="42">
        <f t="shared" si="47"/>
        <v>0</v>
      </c>
      <c r="BW52" s="42">
        <f t="shared" si="47"/>
        <v>0</v>
      </c>
      <c r="BX52" s="42">
        <f t="shared" si="47"/>
        <v>3333405</v>
      </c>
      <c r="BY52" s="42">
        <f t="shared" si="47"/>
        <v>0</v>
      </c>
      <c r="BZ52" s="42">
        <f t="shared" si="48"/>
        <v>0</v>
      </c>
      <c r="CA52" s="42"/>
      <c r="CB52" s="42">
        <f t="shared" si="49"/>
        <v>0</v>
      </c>
      <c r="CC52" s="43">
        <f t="shared" si="8"/>
        <v>0.44443250000000001</v>
      </c>
      <c r="CD52" s="42">
        <f t="shared" si="50"/>
        <v>2666595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>
        <f>+'[1]OCTUBRE 2019'!$H$2165</f>
        <v>2666595</v>
      </c>
      <c r="CX52" s="42"/>
      <c r="CY52" s="42"/>
      <c r="CZ52" s="42"/>
      <c r="DA52" s="42"/>
      <c r="DB52" s="43">
        <f t="shared" si="10"/>
        <v>0.55556749999999999</v>
      </c>
      <c r="DC52" s="42">
        <f t="shared" si="51"/>
        <v>3333405</v>
      </c>
      <c r="DD52" s="42">
        <f t="shared" si="52"/>
        <v>0</v>
      </c>
      <c r="DE52" s="42">
        <f t="shared" si="52"/>
        <v>0</v>
      </c>
      <c r="DF52" s="42">
        <f t="shared" si="52"/>
        <v>0</v>
      </c>
      <c r="DG52" s="42">
        <f t="shared" si="52"/>
        <v>0</v>
      </c>
      <c r="DH52" s="42">
        <f t="shared" si="52"/>
        <v>0</v>
      </c>
      <c r="DI52" s="42">
        <f t="shared" si="52"/>
        <v>0</v>
      </c>
      <c r="DJ52" s="42">
        <f t="shared" si="52"/>
        <v>0</v>
      </c>
      <c r="DK52" s="42">
        <f t="shared" si="52"/>
        <v>0</v>
      </c>
      <c r="DL52" s="42">
        <f t="shared" si="52"/>
        <v>0</v>
      </c>
      <c r="DM52" s="42">
        <f t="shared" si="52"/>
        <v>0</v>
      </c>
      <c r="DN52" s="42">
        <f t="shared" si="52"/>
        <v>0</v>
      </c>
      <c r="DO52" s="42">
        <f t="shared" si="52"/>
        <v>0</v>
      </c>
      <c r="DP52" s="42">
        <f t="shared" si="52"/>
        <v>0</v>
      </c>
      <c r="DQ52" s="42">
        <f t="shared" si="52"/>
        <v>0</v>
      </c>
      <c r="DR52" s="42">
        <f t="shared" si="52"/>
        <v>0</v>
      </c>
      <c r="DS52" s="42">
        <f t="shared" si="52"/>
        <v>0</v>
      </c>
      <c r="DT52" s="42">
        <f t="shared" si="53"/>
        <v>0</v>
      </c>
      <c r="DU52" s="42">
        <f t="shared" si="53"/>
        <v>0</v>
      </c>
      <c r="DV52" s="42">
        <f t="shared" si="53"/>
        <v>3333405</v>
      </c>
      <c r="DW52" s="42">
        <f t="shared" si="53"/>
        <v>0</v>
      </c>
      <c r="DX52" s="42">
        <f t="shared" si="53"/>
        <v>0</v>
      </c>
      <c r="DY52" s="42"/>
      <c r="DZ52" s="42">
        <f t="shared" si="54"/>
        <v>0</v>
      </c>
      <c r="EB52" s="47">
        <f t="shared" si="15"/>
        <v>6000000</v>
      </c>
      <c r="EC52" s="47">
        <f t="shared" si="16"/>
        <v>6000000</v>
      </c>
      <c r="ED52" s="47">
        <f t="shared" si="17"/>
        <v>6000000</v>
      </c>
      <c r="EJ52" s="74">
        <f t="shared" si="55"/>
        <v>2666595</v>
      </c>
      <c r="EK52" s="241"/>
    </row>
    <row r="53" spans="1:141" ht="31.2" hidden="1" customHeight="1" thickTop="1" x14ac:dyDescent="0.3">
      <c r="A53" s="48"/>
      <c r="B53" s="53"/>
      <c r="C53" s="38" t="s">
        <v>168</v>
      </c>
      <c r="D53" s="50" t="s">
        <v>169</v>
      </c>
      <c r="E53" s="40">
        <v>410</v>
      </c>
      <c r="F53" s="60" t="s">
        <v>139</v>
      </c>
      <c r="G53" s="42">
        <f t="shared" si="42"/>
        <v>24000000</v>
      </c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>
        <f>24000000</f>
        <v>24000000</v>
      </c>
      <c r="AA53" s="42"/>
      <c r="AB53" s="42"/>
      <c r="AC53" s="42"/>
      <c r="AD53" s="42"/>
      <c r="AE53" s="43">
        <f t="shared" si="32"/>
        <v>0.39101124999999998</v>
      </c>
      <c r="AF53" s="42">
        <f t="shared" si="43"/>
        <v>9384270</v>
      </c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>
        <f>+'[3]NOVIEMBRE 2019'!$AB$2391</f>
        <v>9384270</v>
      </c>
      <c r="AZ53" s="42"/>
      <c r="BA53" s="42"/>
      <c r="BB53" s="42"/>
      <c r="BC53" s="42"/>
      <c r="BD53" s="43">
        <f t="shared" si="3"/>
        <v>0.60898874999999997</v>
      </c>
      <c r="BE53" s="42">
        <f t="shared" si="44"/>
        <v>14615730</v>
      </c>
      <c r="BF53" s="42">
        <f t="shared" si="45"/>
        <v>0</v>
      </c>
      <c r="BG53" s="42">
        <f t="shared" si="45"/>
        <v>0</v>
      </c>
      <c r="BH53" s="42">
        <f t="shared" si="45"/>
        <v>0</v>
      </c>
      <c r="BI53" s="42">
        <f t="shared" si="46"/>
        <v>0</v>
      </c>
      <c r="BJ53" s="42">
        <f t="shared" si="47"/>
        <v>0</v>
      </c>
      <c r="BK53" s="42">
        <f t="shared" si="47"/>
        <v>0</v>
      </c>
      <c r="BL53" s="42">
        <f t="shared" si="47"/>
        <v>0</v>
      </c>
      <c r="BM53" s="42">
        <f t="shared" si="47"/>
        <v>0</v>
      </c>
      <c r="BN53" s="42">
        <f t="shared" si="47"/>
        <v>0</v>
      </c>
      <c r="BO53" s="42">
        <f t="shared" si="47"/>
        <v>0</v>
      </c>
      <c r="BP53" s="42">
        <f t="shared" si="47"/>
        <v>0</v>
      </c>
      <c r="BQ53" s="42">
        <f t="shared" si="47"/>
        <v>0</v>
      </c>
      <c r="BR53" s="42">
        <f t="shared" si="47"/>
        <v>0</v>
      </c>
      <c r="BS53" s="42">
        <f t="shared" si="47"/>
        <v>0</v>
      </c>
      <c r="BT53" s="42">
        <f t="shared" si="47"/>
        <v>0</v>
      </c>
      <c r="BU53" s="42">
        <f t="shared" si="47"/>
        <v>0</v>
      </c>
      <c r="BV53" s="42">
        <f t="shared" si="47"/>
        <v>0</v>
      </c>
      <c r="BW53" s="42">
        <f t="shared" si="47"/>
        <v>0</v>
      </c>
      <c r="BX53" s="42">
        <f t="shared" si="47"/>
        <v>14615730</v>
      </c>
      <c r="BY53" s="42">
        <f t="shared" si="47"/>
        <v>0</v>
      </c>
      <c r="BZ53" s="42">
        <f t="shared" si="48"/>
        <v>0</v>
      </c>
      <c r="CA53" s="42"/>
      <c r="CB53" s="42">
        <f t="shared" si="49"/>
        <v>0</v>
      </c>
      <c r="CC53" s="43">
        <f t="shared" si="8"/>
        <v>0.34101124999999999</v>
      </c>
      <c r="CD53" s="42">
        <f t="shared" si="50"/>
        <v>8184270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>
        <f>+'[3]NOVIEMBRE 2019'!$H$2389</f>
        <v>8184270</v>
      </c>
      <c r="CX53" s="42"/>
      <c r="CY53" s="42"/>
      <c r="CZ53" s="42"/>
      <c r="DA53" s="42"/>
      <c r="DB53" s="43">
        <f t="shared" si="10"/>
        <v>0.65898875000000001</v>
      </c>
      <c r="DC53" s="42">
        <f t="shared" si="51"/>
        <v>15815730</v>
      </c>
      <c r="DD53" s="42">
        <f t="shared" si="52"/>
        <v>0</v>
      </c>
      <c r="DE53" s="42">
        <f t="shared" si="52"/>
        <v>0</v>
      </c>
      <c r="DF53" s="42">
        <f t="shared" si="52"/>
        <v>0</v>
      </c>
      <c r="DG53" s="42">
        <f t="shared" si="52"/>
        <v>0</v>
      </c>
      <c r="DH53" s="42">
        <f t="shared" si="52"/>
        <v>0</v>
      </c>
      <c r="DI53" s="42">
        <f t="shared" si="52"/>
        <v>0</v>
      </c>
      <c r="DJ53" s="42">
        <f t="shared" si="52"/>
        <v>0</v>
      </c>
      <c r="DK53" s="42">
        <f t="shared" si="52"/>
        <v>0</v>
      </c>
      <c r="DL53" s="42">
        <f t="shared" si="52"/>
        <v>0</v>
      </c>
      <c r="DM53" s="42">
        <f t="shared" si="52"/>
        <v>0</v>
      </c>
      <c r="DN53" s="42">
        <f t="shared" si="52"/>
        <v>0</v>
      </c>
      <c r="DO53" s="42">
        <f t="shared" si="52"/>
        <v>0</v>
      </c>
      <c r="DP53" s="42">
        <f t="shared" si="52"/>
        <v>0</v>
      </c>
      <c r="DQ53" s="42">
        <f t="shared" si="52"/>
        <v>0</v>
      </c>
      <c r="DR53" s="42">
        <f t="shared" si="52"/>
        <v>0</v>
      </c>
      <c r="DS53" s="42">
        <f t="shared" si="52"/>
        <v>0</v>
      </c>
      <c r="DT53" s="42">
        <f t="shared" si="53"/>
        <v>0</v>
      </c>
      <c r="DU53" s="42">
        <f t="shared" si="53"/>
        <v>0</v>
      </c>
      <c r="DV53" s="42">
        <f t="shared" si="53"/>
        <v>15815730</v>
      </c>
      <c r="DW53" s="42">
        <f t="shared" si="53"/>
        <v>0</v>
      </c>
      <c r="DX53" s="42">
        <f t="shared" si="53"/>
        <v>0</v>
      </c>
      <c r="DY53" s="42"/>
      <c r="DZ53" s="42">
        <f t="shared" si="54"/>
        <v>0</v>
      </c>
      <c r="EB53" s="47">
        <f t="shared" si="15"/>
        <v>24000000</v>
      </c>
      <c r="EC53" s="47">
        <f t="shared" si="16"/>
        <v>24000000</v>
      </c>
      <c r="ED53" s="47">
        <f t="shared" si="17"/>
        <v>24000000</v>
      </c>
      <c r="EJ53" s="74">
        <f t="shared" si="55"/>
        <v>8184270</v>
      </c>
      <c r="EK53" s="241"/>
    </row>
    <row r="54" spans="1:141" ht="27.6" hidden="1" customHeight="1" x14ac:dyDescent="0.3">
      <c r="A54" s="48"/>
      <c r="B54" s="53"/>
      <c r="C54" s="38" t="s">
        <v>170</v>
      </c>
      <c r="D54" s="50" t="s">
        <v>171</v>
      </c>
      <c r="E54" s="40">
        <v>410</v>
      </c>
      <c r="F54" s="60" t="s">
        <v>139</v>
      </c>
      <c r="G54" s="42">
        <f t="shared" si="42"/>
        <v>17000000</v>
      </c>
      <c r="H54" s="42"/>
      <c r="I54" s="42"/>
      <c r="J54" s="42"/>
      <c r="K54" s="42"/>
      <c r="L54" s="42"/>
      <c r="M54" s="42"/>
      <c r="N54" s="42"/>
      <c r="O54" s="42">
        <v>17000000</v>
      </c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3">
        <f t="shared" si="32"/>
        <v>0.34</v>
      </c>
      <c r="AF54" s="42">
        <f t="shared" si="43"/>
        <v>5780000</v>
      </c>
      <c r="AG54" s="42"/>
      <c r="AH54" s="42"/>
      <c r="AI54" s="42"/>
      <c r="AJ54" s="42"/>
      <c r="AK54" s="42"/>
      <c r="AL54" s="42"/>
      <c r="AM54" s="42"/>
      <c r="AN54" s="42">
        <f>+'[3]NOVIEMBRE 2019'!$Q$2406</f>
        <v>5780000</v>
      </c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3">
        <f t="shared" si="3"/>
        <v>0.65999999999999992</v>
      </c>
      <c r="BE54" s="42">
        <f t="shared" si="44"/>
        <v>11220000</v>
      </c>
      <c r="BF54" s="42">
        <f t="shared" si="45"/>
        <v>0</v>
      </c>
      <c r="BG54" s="42">
        <f t="shared" si="45"/>
        <v>0</v>
      </c>
      <c r="BH54" s="42">
        <f t="shared" si="45"/>
        <v>0</v>
      </c>
      <c r="BI54" s="42">
        <f t="shared" si="46"/>
        <v>0</v>
      </c>
      <c r="BJ54" s="42">
        <f t="shared" si="47"/>
        <v>0</v>
      </c>
      <c r="BK54" s="42">
        <f t="shared" si="47"/>
        <v>0</v>
      </c>
      <c r="BL54" s="42">
        <f t="shared" si="47"/>
        <v>0</v>
      </c>
      <c r="BM54" s="42">
        <f t="shared" si="47"/>
        <v>11220000</v>
      </c>
      <c r="BN54" s="42">
        <f t="shared" si="47"/>
        <v>0</v>
      </c>
      <c r="BO54" s="42">
        <f t="shared" si="47"/>
        <v>0</v>
      </c>
      <c r="BP54" s="42">
        <f t="shared" si="47"/>
        <v>0</v>
      </c>
      <c r="BQ54" s="42">
        <f t="shared" si="47"/>
        <v>0</v>
      </c>
      <c r="BR54" s="42">
        <f t="shared" si="47"/>
        <v>0</v>
      </c>
      <c r="BS54" s="42">
        <f t="shared" si="47"/>
        <v>0</v>
      </c>
      <c r="BT54" s="42">
        <f t="shared" si="47"/>
        <v>0</v>
      </c>
      <c r="BU54" s="42">
        <f t="shared" si="47"/>
        <v>0</v>
      </c>
      <c r="BV54" s="42">
        <f t="shared" si="47"/>
        <v>0</v>
      </c>
      <c r="BW54" s="42">
        <f t="shared" si="47"/>
        <v>0</v>
      </c>
      <c r="BX54" s="42">
        <f t="shared" si="47"/>
        <v>0</v>
      </c>
      <c r="BY54" s="42">
        <f t="shared" si="47"/>
        <v>0</v>
      </c>
      <c r="BZ54" s="42">
        <f t="shared" si="48"/>
        <v>0</v>
      </c>
      <c r="CA54" s="42"/>
      <c r="CB54" s="42">
        <f t="shared" si="49"/>
        <v>0</v>
      </c>
      <c r="CC54" s="43">
        <f t="shared" si="8"/>
        <v>0.29882352941176471</v>
      </c>
      <c r="CD54" s="42">
        <f t="shared" si="50"/>
        <v>5080000</v>
      </c>
      <c r="CE54" s="42"/>
      <c r="CF54" s="42"/>
      <c r="CG54" s="42"/>
      <c r="CH54" s="42"/>
      <c r="CI54" s="42"/>
      <c r="CJ54" s="42"/>
      <c r="CK54" s="42"/>
      <c r="CL54" s="42">
        <f>+'[3]NOVIEMBRE 2019'!$H$2404</f>
        <v>5080000</v>
      </c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3">
        <f t="shared" si="10"/>
        <v>0.70117647058823529</v>
      </c>
      <c r="DC54" s="42">
        <f t="shared" si="51"/>
        <v>11920000</v>
      </c>
      <c r="DD54" s="42">
        <f t="shared" si="52"/>
        <v>0</v>
      </c>
      <c r="DE54" s="42">
        <f t="shared" si="52"/>
        <v>0</v>
      </c>
      <c r="DF54" s="42">
        <f t="shared" si="52"/>
        <v>0</v>
      </c>
      <c r="DG54" s="42">
        <f t="shared" si="52"/>
        <v>0</v>
      </c>
      <c r="DH54" s="42">
        <f t="shared" si="52"/>
        <v>0</v>
      </c>
      <c r="DI54" s="42">
        <f t="shared" si="52"/>
        <v>0</v>
      </c>
      <c r="DJ54" s="42">
        <f t="shared" si="52"/>
        <v>0</v>
      </c>
      <c r="DK54" s="42">
        <f t="shared" si="52"/>
        <v>11920000</v>
      </c>
      <c r="DL54" s="42">
        <f t="shared" si="52"/>
        <v>0</v>
      </c>
      <c r="DM54" s="42">
        <f t="shared" si="52"/>
        <v>0</v>
      </c>
      <c r="DN54" s="42">
        <f t="shared" si="52"/>
        <v>0</v>
      </c>
      <c r="DO54" s="42">
        <f t="shared" si="52"/>
        <v>0</v>
      </c>
      <c r="DP54" s="42">
        <f t="shared" si="52"/>
        <v>0</v>
      </c>
      <c r="DQ54" s="42">
        <f t="shared" si="52"/>
        <v>0</v>
      </c>
      <c r="DR54" s="42">
        <f t="shared" si="52"/>
        <v>0</v>
      </c>
      <c r="DS54" s="42">
        <f t="shared" si="52"/>
        <v>0</v>
      </c>
      <c r="DT54" s="42">
        <f t="shared" si="53"/>
        <v>0</v>
      </c>
      <c r="DU54" s="42">
        <f t="shared" si="53"/>
        <v>0</v>
      </c>
      <c r="DV54" s="42">
        <f t="shared" si="53"/>
        <v>0</v>
      </c>
      <c r="DW54" s="42">
        <f t="shared" si="53"/>
        <v>0</v>
      </c>
      <c r="DX54" s="42">
        <f t="shared" si="53"/>
        <v>0</v>
      </c>
      <c r="DY54" s="42"/>
      <c r="DZ54" s="42">
        <f t="shared" si="54"/>
        <v>0</v>
      </c>
      <c r="EB54" s="47">
        <f t="shared" si="15"/>
        <v>17000000</v>
      </c>
      <c r="EC54" s="47">
        <f t="shared" si="16"/>
        <v>17000000</v>
      </c>
      <c r="ED54" s="47">
        <f t="shared" si="17"/>
        <v>17000000</v>
      </c>
      <c r="EJ54" s="74">
        <f t="shared" si="55"/>
        <v>5080000</v>
      </c>
      <c r="EK54" s="241"/>
    </row>
    <row r="55" spans="1:141" ht="27.6" hidden="1" customHeight="1" x14ac:dyDescent="0.3">
      <c r="A55" s="48"/>
      <c r="B55" s="53"/>
      <c r="C55" s="38" t="s">
        <v>172</v>
      </c>
      <c r="D55" s="50" t="s">
        <v>173</v>
      </c>
      <c r="E55" s="40">
        <v>410</v>
      </c>
      <c r="F55" s="60" t="s">
        <v>139</v>
      </c>
      <c r="G55" s="42">
        <f t="shared" si="42"/>
        <v>17000000</v>
      </c>
      <c r="H55" s="42"/>
      <c r="I55" s="42"/>
      <c r="J55" s="42"/>
      <c r="K55" s="42"/>
      <c r="L55" s="42"/>
      <c r="M55" s="42"/>
      <c r="N55" s="42"/>
      <c r="O55" s="42">
        <v>10000000</v>
      </c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>
        <f>7000000</f>
        <v>7000000</v>
      </c>
      <c r="AA55" s="42"/>
      <c r="AB55" s="42"/>
      <c r="AC55" s="42"/>
      <c r="AD55" s="42"/>
      <c r="AE55" s="43">
        <f t="shared" si="32"/>
        <v>0.74592588235294122</v>
      </c>
      <c r="AF55" s="42">
        <f t="shared" si="43"/>
        <v>12680740</v>
      </c>
      <c r="AG55" s="42"/>
      <c r="AH55" s="42"/>
      <c r="AI55" s="42"/>
      <c r="AJ55" s="42"/>
      <c r="AK55" s="42"/>
      <c r="AL55" s="42"/>
      <c r="AM55" s="42"/>
      <c r="AN55" s="42">
        <f>+'[3]NOVIEMBRE 2019'!$Q$2428</f>
        <v>7055740</v>
      </c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>
        <f>+'[3]NOVIEMBRE 2019'!$AB$2428</f>
        <v>5625000</v>
      </c>
      <c r="AZ55" s="42"/>
      <c r="BA55" s="42"/>
      <c r="BB55" s="42"/>
      <c r="BC55" s="42"/>
      <c r="BD55" s="43">
        <f t="shared" si="3"/>
        <v>0.25407411764705878</v>
      </c>
      <c r="BE55" s="42">
        <f t="shared" si="44"/>
        <v>4319260</v>
      </c>
      <c r="BF55" s="42">
        <f t="shared" si="45"/>
        <v>0</v>
      </c>
      <c r="BG55" s="42">
        <f t="shared" si="45"/>
        <v>0</v>
      </c>
      <c r="BH55" s="42">
        <f t="shared" si="45"/>
        <v>0</v>
      </c>
      <c r="BI55" s="42">
        <f t="shared" si="46"/>
        <v>0</v>
      </c>
      <c r="BJ55" s="42">
        <f t="shared" si="47"/>
        <v>0</v>
      </c>
      <c r="BK55" s="42">
        <f t="shared" si="47"/>
        <v>0</v>
      </c>
      <c r="BL55" s="42">
        <f t="shared" si="47"/>
        <v>0</v>
      </c>
      <c r="BM55" s="42">
        <f t="shared" si="47"/>
        <v>2944260</v>
      </c>
      <c r="BN55" s="42">
        <f t="shared" si="47"/>
        <v>0</v>
      </c>
      <c r="BO55" s="42">
        <f t="shared" si="47"/>
        <v>0</v>
      </c>
      <c r="BP55" s="42">
        <f t="shared" si="47"/>
        <v>0</v>
      </c>
      <c r="BQ55" s="42">
        <f t="shared" si="47"/>
        <v>0</v>
      </c>
      <c r="BR55" s="42">
        <f t="shared" si="47"/>
        <v>0</v>
      </c>
      <c r="BS55" s="42">
        <f t="shared" si="47"/>
        <v>0</v>
      </c>
      <c r="BT55" s="42">
        <f t="shared" si="47"/>
        <v>0</v>
      </c>
      <c r="BU55" s="42">
        <f t="shared" si="47"/>
        <v>0</v>
      </c>
      <c r="BV55" s="42">
        <f t="shared" si="47"/>
        <v>0</v>
      </c>
      <c r="BW55" s="42">
        <f t="shared" si="47"/>
        <v>0</v>
      </c>
      <c r="BX55" s="42">
        <f t="shared" si="47"/>
        <v>1375000</v>
      </c>
      <c r="BY55" s="42">
        <f t="shared" si="47"/>
        <v>0</v>
      </c>
      <c r="BZ55" s="42">
        <f t="shared" si="48"/>
        <v>0</v>
      </c>
      <c r="CA55" s="42"/>
      <c r="CB55" s="42">
        <f t="shared" si="49"/>
        <v>0</v>
      </c>
      <c r="CC55" s="43">
        <f t="shared" si="8"/>
        <v>0.74592588235294122</v>
      </c>
      <c r="CD55" s="42">
        <f t="shared" si="50"/>
        <v>12680740</v>
      </c>
      <c r="CE55" s="42"/>
      <c r="CF55" s="42"/>
      <c r="CG55" s="42"/>
      <c r="CH55" s="42"/>
      <c r="CI55" s="42"/>
      <c r="CJ55" s="42"/>
      <c r="CK55" s="42"/>
      <c r="CL55" s="42">
        <f>+'[1]OCTUBRE 2019'!$Q$2190</f>
        <v>7055740</v>
      </c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>
        <f>+'[3]NOVIEMBRE 2019'!$H$2435+'[3]NOVIEMBRE 2019'!$H$2437</f>
        <v>5625000</v>
      </c>
      <c r="CX55" s="42"/>
      <c r="CY55" s="42"/>
      <c r="CZ55" s="42"/>
      <c r="DA55" s="42"/>
      <c r="DB55" s="43">
        <f t="shared" si="10"/>
        <v>0.25407411764705878</v>
      </c>
      <c r="DC55" s="42">
        <f t="shared" si="51"/>
        <v>4319260</v>
      </c>
      <c r="DD55" s="42">
        <f t="shared" si="52"/>
        <v>0</v>
      </c>
      <c r="DE55" s="42">
        <f t="shared" si="52"/>
        <v>0</v>
      </c>
      <c r="DF55" s="42">
        <f t="shared" si="52"/>
        <v>0</v>
      </c>
      <c r="DG55" s="42">
        <f t="shared" si="52"/>
        <v>0</v>
      </c>
      <c r="DH55" s="42">
        <f t="shared" si="52"/>
        <v>0</v>
      </c>
      <c r="DI55" s="42">
        <f t="shared" si="52"/>
        <v>0</v>
      </c>
      <c r="DJ55" s="42">
        <f t="shared" si="52"/>
        <v>0</v>
      </c>
      <c r="DK55" s="42">
        <f t="shared" si="52"/>
        <v>2944260</v>
      </c>
      <c r="DL55" s="42">
        <f t="shared" si="52"/>
        <v>0</v>
      </c>
      <c r="DM55" s="42">
        <f t="shared" si="52"/>
        <v>0</v>
      </c>
      <c r="DN55" s="42">
        <f t="shared" si="52"/>
        <v>0</v>
      </c>
      <c r="DO55" s="42">
        <f t="shared" si="52"/>
        <v>0</v>
      </c>
      <c r="DP55" s="42">
        <f t="shared" si="52"/>
        <v>0</v>
      </c>
      <c r="DQ55" s="42">
        <f t="shared" si="52"/>
        <v>0</v>
      </c>
      <c r="DR55" s="42">
        <f t="shared" si="52"/>
        <v>0</v>
      </c>
      <c r="DS55" s="42">
        <f t="shared" si="52"/>
        <v>0</v>
      </c>
      <c r="DT55" s="42">
        <f t="shared" si="53"/>
        <v>0</v>
      </c>
      <c r="DU55" s="42">
        <f t="shared" si="53"/>
        <v>0</v>
      </c>
      <c r="DV55" s="42">
        <f t="shared" si="53"/>
        <v>1375000</v>
      </c>
      <c r="DW55" s="42">
        <f t="shared" si="53"/>
        <v>0</v>
      </c>
      <c r="DX55" s="42">
        <f t="shared" si="53"/>
        <v>0</v>
      </c>
      <c r="DY55" s="42"/>
      <c r="DZ55" s="42">
        <f t="shared" si="54"/>
        <v>0</v>
      </c>
      <c r="EB55" s="47">
        <f t="shared" si="15"/>
        <v>17000000</v>
      </c>
      <c r="EC55" s="47">
        <f t="shared" si="16"/>
        <v>17000000</v>
      </c>
      <c r="ED55" s="47">
        <f t="shared" si="17"/>
        <v>17000000</v>
      </c>
      <c r="EJ55" s="74">
        <f t="shared" si="55"/>
        <v>12680740</v>
      </c>
      <c r="EK55" s="241"/>
    </row>
    <row r="56" spans="1:141" ht="31.5" hidden="1" customHeight="1" x14ac:dyDescent="0.3">
      <c r="A56" s="48"/>
      <c r="B56" s="53"/>
      <c r="C56" s="38" t="s">
        <v>174</v>
      </c>
      <c r="D56" s="50" t="s">
        <v>175</v>
      </c>
      <c r="E56" s="40">
        <v>410</v>
      </c>
      <c r="F56" s="60" t="s">
        <v>139</v>
      </c>
      <c r="G56" s="42">
        <f t="shared" si="42"/>
        <v>24000000</v>
      </c>
      <c r="H56" s="42"/>
      <c r="I56" s="42"/>
      <c r="J56" s="42"/>
      <c r="K56" s="42"/>
      <c r="L56" s="42"/>
      <c r="M56" s="42"/>
      <c r="N56" s="42"/>
      <c r="O56" s="42">
        <v>15000000</v>
      </c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>
        <f>9000000</f>
        <v>9000000</v>
      </c>
      <c r="AA56" s="42"/>
      <c r="AB56" s="42"/>
      <c r="AC56" s="42"/>
      <c r="AD56" s="42"/>
      <c r="AE56" s="43">
        <f t="shared" si="32"/>
        <v>0.53749999999999998</v>
      </c>
      <c r="AF56" s="42">
        <f t="shared" si="43"/>
        <v>12900000</v>
      </c>
      <c r="AG56" s="42"/>
      <c r="AH56" s="42"/>
      <c r="AI56" s="42"/>
      <c r="AJ56" s="42"/>
      <c r="AK56" s="42"/>
      <c r="AL56" s="42"/>
      <c r="AM56" s="42"/>
      <c r="AN56" s="42">
        <f>+'[3]NOVIEMBRE 2019'!$Q$2442</f>
        <v>9674820</v>
      </c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>
        <f>+'[3]NOVIEMBRE 2019'!$AB$2442</f>
        <v>3225180</v>
      </c>
      <c r="AZ56" s="42"/>
      <c r="BA56" s="42"/>
      <c r="BB56" s="42"/>
      <c r="BC56" s="42"/>
      <c r="BD56" s="43">
        <f t="shared" si="3"/>
        <v>0.46250000000000002</v>
      </c>
      <c r="BE56" s="42">
        <f t="shared" si="44"/>
        <v>11100000</v>
      </c>
      <c r="BF56" s="42">
        <f t="shared" si="45"/>
        <v>0</v>
      </c>
      <c r="BG56" s="42">
        <f t="shared" si="45"/>
        <v>0</v>
      </c>
      <c r="BH56" s="42">
        <f t="shared" si="45"/>
        <v>0</v>
      </c>
      <c r="BI56" s="42">
        <f t="shared" si="46"/>
        <v>0</v>
      </c>
      <c r="BJ56" s="42">
        <f t="shared" si="47"/>
        <v>0</v>
      </c>
      <c r="BK56" s="42">
        <f t="shared" si="47"/>
        <v>0</v>
      </c>
      <c r="BL56" s="42">
        <f t="shared" si="47"/>
        <v>0</v>
      </c>
      <c r="BM56" s="42">
        <f t="shared" si="47"/>
        <v>5325180</v>
      </c>
      <c r="BN56" s="42">
        <f t="shared" si="47"/>
        <v>0</v>
      </c>
      <c r="BO56" s="42">
        <f t="shared" si="47"/>
        <v>0</v>
      </c>
      <c r="BP56" s="42">
        <f t="shared" si="47"/>
        <v>0</v>
      </c>
      <c r="BQ56" s="42">
        <f t="shared" si="47"/>
        <v>0</v>
      </c>
      <c r="BR56" s="42">
        <f t="shared" si="47"/>
        <v>0</v>
      </c>
      <c r="BS56" s="42">
        <f t="shared" si="47"/>
        <v>0</v>
      </c>
      <c r="BT56" s="42">
        <f t="shared" si="47"/>
        <v>0</v>
      </c>
      <c r="BU56" s="42">
        <f t="shared" si="47"/>
        <v>0</v>
      </c>
      <c r="BV56" s="42">
        <f t="shared" si="47"/>
        <v>0</v>
      </c>
      <c r="BW56" s="42">
        <f t="shared" si="47"/>
        <v>0</v>
      </c>
      <c r="BX56" s="42">
        <f t="shared" si="47"/>
        <v>5774820</v>
      </c>
      <c r="BY56" s="42">
        <f t="shared" ref="BY56:BY80" si="56">AA56-AZ56</f>
        <v>0</v>
      </c>
      <c r="BZ56" s="42">
        <f t="shared" si="48"/>
        <v>0</v>
      </c>
      <c r="CA56" s="42"/>
      <c r="CB56" s="42">
        <f t="shared" si="49"/>
        <v>0</v>
      </c>
      <c r="CC56" s="43">
        <f t="shared" si="8"/>
        <v>0.53749999999999998</v>
      </c>
      <c r="CD56" s="42">
        <f t="shared" si="50"/>
        <v>12900000</v>
      </c>
      <c r="CE56" s="42"/>
      <c r="CF56" s="42"/>
      <c r="CG56" s="42"/>
      <c r="CH56" s="42"/>
      <c r="CI56" s="42"/>
      <c r="CJ56" s="42"/>
      <c r="CK56" s="42"/>
      <c r="CL56" s="42">
        <f>+'[3]NOVIEMBRE 2019'!$H$2443+'[3]NOVIEMBRE 2019'!$H$2446+'[3]NOVIEMBRE 2019'!$H$2447+'[3]NOVIEMBRE 2019'!$H$2448</f>
        <v>9674820</v>
      </c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>
        <f>+'[3]NOVIEMBRE 2019'!$H$2444+'[3]NOVIEMBRE 2019'!$H$2445</f>
        <v>3225180</v>
      </c>
      <c r="CX56" s="42"/>
      <c r="CY56" s="42"/>
      <c r="CZ56" s="42"/>
      <c r="DA56" s="42"/>
      <c r="DB56" s="43">
        <f t="shared" si="10"/>
        <v>0.46250000000000002</v>
      </c>
      <c r="DC56" s="42">
        <f t="shared" si="51"/>
        <v>11100000</v>
      </c>
      <c r="DD56" s="42">
        <f t="shared" si="52"/>
        <v>0</v>
      </c>
      <c r="DE56" s="42">
        <f t="shared" si="52"/>
        <v>0</v>
      </c>
      <c r="DF56" s="42">
        <f t="shared" si="52"/>
        <v>0</v>
      </c>
      <c r="DG56" s="42">
        <f t="shared" si="52"/>
        <v>0</v>
      </c>
      <c r="DH56" s="42">
        <f t="shared" si="52"/>
        <v>0</v>
      </c>
      <c r="DI56" s="42">
        <f t="shared" si="52"/>
        <v>0</v>
      </c>
      <c r="DJ56" s="42">
        <f t="shared" si="52"/>
        <v>0</v>
      </c>
      <c r="DK56" s="42">
        <f t="shared" si="52"/>
        <v>5325180</v>
      </c>
      <c r="DL56" s="42">
        <f t="shared" si="52"/>
        <v>0</v>
      </c>
      <c r="DM56" s="42">
        <f t="shared" si="52"/>
        <v>0</v>
      </c>
      <c r="DN56" s="42">
        <f t="shared" si="52"/>
        <v>0</v>
      </c>
      <c r="DO56" s="42">
        <f t="shared" si="52"/>
        <v>0</v>
      </c>
      <c r="DP56" s="42">
        <f t="shared" si="52"/>
        <v>0</v>
      </c>
      <c r="DQ56" s="42">
        <f t="shared" si="52"/>
        <v>0</v>
      </c>
      <c r="DR56" s="42">
        <f t="shared" si="52"/>
        <v>0</v>
      </c>
      <c r="DS56" s="42">
        <f t="shared" ref="DS56:DS80" si="57">W56-CT56</f>
        <v>0</v>
      </c>
      <c r="DT56" s="42">
        <f t="shared" si="53"/>
        <v>0</v>
      </c>
      <c r="DU56" s="42">
        <f t="shared" si="53"/>
        <v>0</v>
      </c>
      <c r="DV56" s="42">
        <f t="shared" si="53"/>
        <v>5774820</v>
      </c>
      <c r="DW56" s="42">
        <f t="shared" si="53"/>
        <v>0</v>
      </c>
      <c r="DX56" s="42">
        <f t="shared" si="53"/>
        <v>0</v>
      </c>
      <c r="DY56" s="42"/>
      <c r="DZ56" s="42">
        <f t="shared" si="54"/>
        <v>0</v>
      </c>
      <c r="EB56" s="47">
        <f t="shared" si="15"/>
        <v>24000000</v>
      </c>
      <c r="EC56" s="47">
        <f t="shared" si="16"/>
        <v>24000000</v>
      </c>
      <c r="ED56" s="47">
        <f t="shared" si="17"/>
        <v>24000000</v>
      </c>
      <c r="EJ56" s="74">
        <f t="shared" si="55"/>
        <v>12900000</v>
      </c>
      <c r="EK56" s="241"/>
    </row>
    <row r="57" spans="1:141" ht="30.75" hidden="1" customHeight="1" x14ac:dyDescent="0.3">
      <c r="A57" s="48"/>
      <c r="B57" s="53"/>
      <c r="C57" s="38" t="s">
        <v>176</v>
      </c>
      <c r="D57" s="50" t="s">
        <v>177</v>
      </c>
      <c r="E57" s="40">
        <v>410</v>
      </c>
      <c r="F57" s="60" t="s">
        <v>139</v>
      </c>
      <c r="G57" s="42">
        <f t="shared" si="42"/>
        <v>24000000</v>
      </c>
      <c r="H57" s="42"/>
      <c r="I57" s="42"/>
      <c r="J57" s="42"/>
      <c r="K57" s="42"/>
      <c r="L57" s="42"/>
      <c r="M57" s="42"/>
      <c r="N57" s="42"/>
      <c r="O57" s="42">
        <v>16000000</v>
      </c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>
        <v>8000000</v>
      </c>
      <c r="AA57" s="42"/>
      <c r="AB57" s="42"/>
      <c r="AC57" s="42"/>
      <c r="AD57" s="42"/>
      <c r="AE57" s="43">
        <f t="shared" si="32"/>
        <v>0.32070537500000001</v>
      </c>
      <c r="AF57" s="42">
        <f t="shared" si="43"/>
        <v>7696929</v>
      </c>
      <c r="AG57" s="42"/>
      <c r="AH57" s="42"/>
      <c r="AI57" s="42"/>
      <c r="AJ57" s="42"/>
      <c r="AK57" s="42"/>
      <c r="AL57" s="42"/>
      <c r="AM57" s="42"/>
      <c r="AN57" s="42">
        <f>+'[3]NOVIEMBRE 2019'!$Q$2453</f>
        <v>6626929</v>
      </c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>
        <f>+'[3]NOVIEMBRE 2019'!$AB$2453</f>
        <v>1070000</v>
      </c>
      <c r="AZ57" s="42"/>
      <c r="BA57" s="42"/>
      <c r="BB57" s="42"/>
      <c r="BC57" s="42"/>
      <c r="BD57" s="43">
        <f t="shared" si="3"/>
        <v>0.67929462500000004</v>
      </c>
      <c r="BE57" s="42">
        <f t="shared" si="44"/>
        <v>16303071</v>
      </c>
      <c r="BF57" s="42">
        <f t="shared" si="45"/>
        <v>0</v>
      </c>
      <c r="BG57" s="42">
        <f t="shared" si="45"/>
        <v>0</v>
      </c>
      <c r="BH57" s="42">
        <f t="shared" si="45"/>
        <v>0</v>
      </c>
      <c r="BI57" s="42">
        <f t="shared" si="46"/>
        <v>0</v>
      </c>
      <c r="BJ57" s="42">
        <f t="shared" ref="BJ57:BX73" si="58">L57-AK57</f>
        <v>0</v>
      </c>
      <c r="BK57" s="42">
        <f t="shared" si="58"/>
        <v>0</v>
      </c>
      <c r="BL57" s="42">
        <f t="shared" si="58"/>
        <v>0</v>
      </c>
      <c r="BM57" s="42">
        <f t="shared" si="58"/>
        <v>9373071</v>
      </c>
      <c r="BN57" s="42">
        <f t="shared" si="58"/>
        <v>0</v>
      </c>
      <c r="BO57" s="42">
        <f t="shared" si="58"/>
        <v>0</v>
      </c>
      <c r="BP57" s="42">
        <f t="shared" si="58"/>
        <v>0</v>
      </c>
      <c r="BQ57" s="42">
        <f t="shared" si="58"/>
        <v>0</v>
      </c>
      <c r="BR57" s="42">
        <f t="shared" si="58"/>
        <v>0</v>
      </c>
      <c r="BS57" s="42">
        <f t="shared" si="58"/>
        <v>0</v>
      </c>
      <c r="BT57" s="42">
        <f t="shared" si="58"/>
        <v>0</v>
      </c>
      <c r="BU57" s="42">
        <f t="shared" si="58"/>
        <v>0</v>
      </c>
      <c r="BV57" s="42">
        <f t="shared" si="58"/>
        <v>0</v>
      </c>
      <c r="BW57" s="42">
        <f t="shared" si="58"/>
        <v>0</v>
      </c>
      <c r="BX57" s="42">
        <f t="shared" si="58"/>
        <v>6930000</v>
      </c>
      <c r="BY57" s="42">
        <f t="shared" si="56"/>
        <v>0</v>
      </c>
      <c r="BZ57" s="42">
        <f t="shared" si="48"/>
        <v>0</v>
      </c>
      <c r="CA57" s="42"/>
      <c r="CB57" s="42">
        <f t="shared" si="49"/>
        <v>0</v>
      </c>
      <c r="CC57" s="43">
        <f t="shared" si="8"/>
        <v>0.27903870833333333</v>
      </c>
      <c r="CD57" s="42">
        <f t="shared" si="50"/>
        <v>6696929</v>
      </c>
      <c r="CE57" s="42"/>
      <c r="CF57" s="42"/>
      <c r="CG57" s="42"/>
      <c r="CH57" s="42"/>
      <c r="CI57" s="42"/>
      <c r="CJ57" s="42"/>
      <c r="CK57" s="42"/>
      <c r="CL57" s="42">
        <f>+'[3]NOVIEMBRE 2019'!$H$2454+'[3]NOVIEMBRE 2019'!$H$2457+'[3]NOVIEMBRE 2019'!$H$2458+'[3]NOVIEMBRE 2019'!$H$2459+'[3]NOVIEMBRE 2019'!$H$2460+'[3]NOVIEMBRE 2019'!$H$2461</f>
        <v>5626929</v>
      </c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>
        <f>+'[3]NOVIEMBRE 2019'!$AB$2453</f>
        <v>1070000</v>
      </c>
      <c r="CX57" s="42"/>
      <c r="CY57" s="42"/>
      <c r="CZ57" s="42"/>
      <c r="DA57" s="42"/>
      <c r="DB57" s="43">
        <f t="shared" si="10"/>
        <v>0.72096129166666667</v>
      </c>
      <c r="DC57" s="42">
        <f t="shared" si="51"/>
        <v>17303071</v>
      </c>
      <c r="DD57" s="42">
        <f t="shared" ref="DD57:DR73" si="59">H57-CE57</f>
        <v>0</v>
      </c>
      <c r="DE57" s="42">
        <f t="shared" si="59"/>
        <v>0</v>
      </c>
      <c r="DF57" s="42">
        <f t="shared" si="59"/>
        <v>0</v>
      </c>
      <c r="DG57" s="42">
        <f t="shared" si="59"/>
        <v>0</v>
      </c>
      <c r="DH57" s="42">
        <f t="shared" si="59"/>
        <v>0</v>
      </c>
      <c r="DI57" s="42">
        <f t="shared" si="59"/>
        <v>0</v>
      </c>
      <c r="DJ57" s="42">
        <f t="shared" si="59"/>
        <v>0</v>
      </c>
      <c r="DK57" s="42">
        <f t="shared" si="59"/>
        <v>10373071</v>
      </c>
      <c r="DL57" s="42">
        <f t="shared" si="59"/>
        <v>0</v>
      </c>
      <c r="DM57" s="42">
        <f t="shared" si="59"/>
        <v>0</v>
      </c>
      <c r="DN57" s="42">
        <f t="shared" si="59"/>
        <v>0</v>
      </c>
      <c r="DO57" s="42">
        <f t="shared" si="59"/>
        <v>0</v>
      </c>
      <c r="DP57" s="42">
        <f t="shared" si="59"/>
        <v>0</v>
      </c>
      <c r="DQ57" s="42">
        <f t="shared" si="59"/>
        <v>0</v>
      </c>
      <c r="DR57" s="42">
        <f t="shared" si="59"/>
        <v>0</v>
      </c>
      <c r="DS57" s="42">
        <f t="shared" si="57"/>
        <v>0</v>
      </c>
      <c r="DT57" s="42">
        <f t="shared" si="53"/>
        <v>0</v>
      </c>
      <c r="DU57" s="42">
        <f t="shared" si="53"/>
        <v>0</v>
      </c>
      <c r="DV57" s="42">
        <f t="shared" si="53"/>
        <v>6930000</v>
      </c>
      <c r="DW57" s="42">
        <f t="shared" si="53"/>
        <v>0</v>
      </c>
      <c r="DX57" s="42">
        <f t="shared" si="53"/>
        <v>0</v>
      </c>
      <c r="DY57" s="42"/>
      <c r="DZ57" s="42">
        <f t="shared" si="54"/>
        <v>0</v>
      </c>
      <c r="EB57" s="47">
        <f t="shared" si="15"/>
        <v>24000000</v>
      </c>
      <c r="EC57" s="47">
        <f t="shared" si="16"/>
        <v>24000000</v>
      </c>
      <c r="ED57" s="47">
        <f t="shared" si="17"/>
        <v>24000000</v>
      </c>
      <c r="EJ57" s="74">
        <f t="shared" si="55"/>
        <v>6696929</v>
      </c>
      <c r="EK57" s="241"/>
    </row>
    <row r="58" spans="1:141" ht="32.4" hidden="1" customHeight="1" x14ac:dyDescent="0.3">
      <c r="A58" s="48"/>
      <c r="B58" s="53"/>
      <c r="C58" s="38" t="s">
        <v>178</v>
      </c>
      <c r="D58" s="50" t="s">
        <v>179</v>
      </c>
      <c r="E58" s="40">
        <v>410</v>
      </c>
      <c r="F58" s="60" t="s">
        <v>139</v>
      </c>
      <c r="G58" s="42">
        <f t="shared" si="42"/>
        <v>40000000</v>
      </c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>
        <f>20000000+20000000</f>
        <v>40000000</v>
      </c>
      <c r="AA58" s="42"/>
      <c r="AB58" s="42"/>
      <c r="AC58" s="42"/>
      <c r="AD58" s="42"/>
      <c r="AE58" s="43">
        <f t="shared" si="32"/>
        <v>0.39766792499999998</v>
      </c>
      <c r="AF58" s="42">
        <f t="shared" si="43"/>
        <v>15906717</v>
      </c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>
        <f>+'[3]NOVIEMBRE 2019'!$AB$2469</f>
        <v>15906717</v>
      </c>
      <c r="AZ58" s="42"/>
      <c r="BA58" s="42"/>
      <c r="BB58" s="42"/>
      <c r="BC58" s="42"/>
      <c r="BD58" s="43">
        <f t="shared" si="3"/>
        <v>0.60233207500000008</v>
      </c>
      <c r="BE58" s="42">
        <f t="shared" si="44"/>
        <v>24093283</v>
      </c>
      <c r="BF58" s="42">
        <f t="shared" si="45"/>
        <v>0</v>
      </c>
      <c r="BG58" s="42">
        <f t="shared" si="45"/>
        <v>0</v>
      </c>
      <c r="BH58" s="42">
        <f t="shared" si="45"/>
        <v>0</v>
      </c>
      <c r="BI58" s="42">
        <f t="shared" si="46"/>
        <v>0</v>
      </c>
      <c r="BJ58" s="42">
        <f t="shared" si="58"/>
        <v>0</v>
      </c>
      <c r="BK58" s="42">
        <f t="shared" si="58"/>
        <v>0</v>
      </c>
      <c r="BL58" s="42">
        <f t="shared" si="58"/>
        <v>0</v>
      </c>
      <c r="BM58" s="42">
        <f t="shared" si="58"/>
        <v>0</v>
      </c>
      <c r="BN58" s="42">
        <f t="shared" si="58"/>
        <v>0</v>
      </c>
      <c r="BO58" s="42">
        <f t="shared" si="58"/>
        <v>0</v>
      </c>
      <c r="BP58" s="42">
        <f t="shared" si="58"/>
        <v>0</v>
      </c>
      <c r="BQ58" s="42">
        <f t="shared" si="58"/>
        <v>0</v>
      </c>
      <c r="BR58" s="42">
        <f t="shared" si="58"/>
        <v>0</v>
      </c>
      <c r="BS58" s="42">
        <f t="shared" si="58"/>
        <v>0</v>
      </c>
      <c r="BT58" s="42">
        <f t="shared" si="58"/>
        <v>0</v>
      </c>
      <c r="BU58" s="42">
        <f t="shared" si="58"/>
        <v>0</v>
      </c>
      <c r="BV58" s="42">
        <f t="shared" si="58"/>
        <v>0</v>
      </c>
      <c r="BW58" s="42">
        <f t="shared" si="58"/>
        <v>0</v>
      </c>
      <c r="BX58" s="42">
        <f t="shared" si="58"/>
        <v>24093283</v>
      </c>
      <c r="BY58" s="42">
        <f t="shared" si="56"/>
        <v>0</v>
      </c>
      <c r="BZ58" s="42">
        <f t="shared" si="48"/>
        <v>0</v>
      </c>
      <c r="CA58" s="42"/>
      <c r="CB58" s="42">
        <f t="shared" si="49"/>
        <v>0</v>
      </c>
      <c r="CC58" s="43">
        <f t="shared" si="8"/>
        <v>0.16720665000000001</v>
      </c>
      <c r="CD58" s="42">
        <f t="shared" si="50"/>
        <v>6688266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>
        <f>+'[3]NOVIEMBRE 2019'!$H$2470+'[3]NOVIEMBRE 2019'!$H$2472+'[3]NOVIEMBRE 2019'!$H$2475+'[3]NOVIEMBRE 2019'!$H$2479</f>
        <v>6688266</v>
      </c>
      <c r="CX58" s="42"/>
      <c r="CY58" s="42"/>
      <c r="CZ58" s="42"/>
      <c r="DA58" s="42"/>
      <c r="DB58" s="43">
        <f t="shared" si="10"/>
        <v>0.83279334999999999</v>
      </c>
      <c r="DC58" s="42">
        <f t="shared" si="51"/>
        <v>33311734</v>
      </c>
      <c r="DD58" s="42">
        <f t="shared" si="59"/>
        <v>0</v>
      </c>
      <c r="DE58" s="42">
        <f t="shared" si="59"/>
        <v>0</v>
      </c>
      <c r="DF58" s="42">
        <f t="shared" si="59"/>
        <v>0</v>
      </c>
      <c r="DG58" s="42">
        <f t="shared" si="59"/>
        <v>0</v>
      </c>
      <c r="DH58" s="42">
        <f t="shared" si="59"/>
        <v>0</v>
      </c>
      <c r="DI58" s="42">
        <f t="shared" si="59"/>
        <v>0</v>
      </c>
      <c r="DJ58" s="42">
        <f t="shared" si="59"/>
        <v>0</v>
      </c>
      <c r="DK58" s="42">
        <f t="shared" si="59"/>
        <v>0</v>
      </c>
      <c r="DL58" s="42">
        <f t="shared" si="59"/>
        <v>0</v>
      </c>
      <c r="DM58" s="42">
        <f t="shared" si="59"/>
        <v>0</v>
      </c>
      <c r="DN58" s="42">
        <f t="shared" si="59"/>
        <v>0</v>
      </c>
      <c r="DO58" s="42">
        <f t="shared" si="59"/>
        <v>0</v>
      </c>
      <c r="DP58" s="42">
        <f t="shared" si="59"/>
        <v>0</v>
      </c>
      <c r="DQ58" s="42">
        <f t="shared" si="59"/>
        <v>0</v>
      </c>
      <c r="DR58" s="42">
        <f t="shared" si="59"/>
        <v>0</v>
      </c>
      <c r="DS58" s="42">
        <f t="shared" si="57"/>
        <v>0</v>
      </c>
      <c r="DT58" s="42">
        <f t="shared" si="53"/>
        <v>0</v>
      </c>
      <c r="DU58" s="42">
        <f t="shared" si="53"/>
        <v>0</v>
      </c>
      <c r="DV58" s="42">
        <f t="shared" si="53"/>
        <v>33311734</v>
      </c>
      <c r="DW58" s="42">
        <f t="shared" si="53"/>
        <v>0</v>
      </c>
      <c r="DX58" s="42">
        <f t="shared" si="53"/>
        <v>0</v>
      </c>
      <c r="DY58" s="42"/>
      <c r="DZ58" s="42">
        <f t="shared" si="54"/>
        <v>0</v>
      </c>
      <c r="EB58" s="47">
        <f t="shared" si="15"/>
        <v>40000000</v>
      </c>
      <c r="EC58" s="47">
        <f t="shared" si="16"/>
        <v>40000000</v>
      </c>
      <c r="ED58" s="47">
        <f t="shared" si="17"/>
        <v>40000000</v>
      </c>
      <c r="EJ58" s="74">
        <f t="shared" si="55"/>
        <v>6688266</v>
      </c>
      <c r="EK58" s="241"/>
    </row>
    <row r="59" spans="1:141" ht="33.75" hidden="1" customHeight="1" x14ac:dyDescent="0.3">
      <c r="A59" s="48"/>
      <c r="B59" s="53"/>
      <c r="C59" s="38" t="s">
        <v>180</v>
      </c>
      <c r="D59" s="50" t="s">
        <v>181</v>
      </c>
      <c r="E59" s="40">
        <v>410</v>
      </c>
      <c r="F59" s="60" t="s">
        <v>139</v>
      </c>
      <c r="G59" s="42">
        <f t="shared" si="42"/>
        <v>0</v>
      </c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3" t="e">
        <f t="shared" si="32"/>
        <v>#DIV/0!</v>
      </c>
      <c r="AF59" s="42">
        <f t="shared" si="43"/>
        <v>0</v>
      </c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3" t="e">
        <f t="shared" si="3"/>
        <v>#DIV/0!</v>
      </c>
      <c r="BE59" s="42">
        <f t="shared" si="44"/>
        <v>0</v>
      </c>
      <c r="BF59" s="42">
        <f t="shared" si="45"/>
        <v>0</v>
      </c>
      <c r="BG59" s="42">
        <f t="shared" si="45"/>
        <v>0</v>
      </c>
      <c r="BH59" s="42">
        <f t="shared" si="45"/>
        <v>0</v>
      </c>
      <c r="BI59" s="42">
        <f t="shared" si="46"/>
        <v>0</v>
      </c>
      <c r="BJ59" s="42">
        <f t="shared" si="58"/>
        <v>0</v>
      </c>
      <c r="BK59" s="42">
        <f t="shared" si="58"/>
        <v>0</v>
      </c>
      <c r="BL59" s="42">
        <f t="shared" si="58"/>
        <v>0</v>
      </c>
      <c r="BM59" s="42">
        <f t="shared" si="58"/>
        <v>0</v>
      </c>
      <c r="BN59" s="42">
        <f t="shared" si="58"/>
        <v>0</v>
      </c>
      <c r="BO59" s="42">
        <f t="shared" si="58"/>
        <v>0</v>
      </c>
      <c r="BP59" s="42">
        <f t="shared" si="58"/>
        <v>0</v>
      </c>
      <c r="BQ59" s="42">
        <f t="shared" si="58"/>
        <v>0</v>
      </c>
      <c r="BR59" s="42">
        <f t="shared" si="58"/>
        <v>0</v>
      </c>
      <c r="BS59" s="42">
        <f t="shared" si="58"/>
        <v>0</v>
      </c>
      <c r="BT59" s="42">
        <f t="shared" si="58"/>
        <v>0</v>
      </c>
      <c r="BU59" s="42">
        <f t="shared" si="58"/>
        <v>0</v>
      </c>
      <c r="BV59" s="42">
        <f t="shared" si="58"/>
        <v>0</v>
      </c>
      <c r="BW59" s="42">
        <f t="shared" si="58"/>
        <v>0</v>
      </c>
      <c r="BX59" s="42">
        <f t="shared" si="58"/>
        <v>0</v>
      </c>
      <c r="BY59" s="42">
        <f t="shared" si="56"/>
        <v>0</v>
      </c>
      <c r="BZ59" s="42">
        <f t="shared" si="48"/>
        <v>0</v>
      </c>
      <c r="CA59" s="42"/>
      <c r="CB59" s="42">
        <f t="shared" si="49"/>
        <v>0</v>
      </c>
      <c r="CC59" s="43" t="e">
        <f t="shared" si="8"/>
        <v>#DIV/0!</v>
      </c>
      <c r="CD59" s="42">
        <f t="shared" si="50"/>
        <v>0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3" t="e">
        <f t="shared" si="10"/>
        <v>#DIV/0!</v>
      </c>
      <c r="DC59" s="42">
        <f t="shared" si="51"/>
        <v>0</v>
      </c>
      <c r="DD59" s="42">
        <f t="shared" si="59"/>
        <v>0</v>
      </c>
      <c r="DE59" s="42">
        <f t="shared" si="59"/>
        <v>0</v>
      </c>
      <c r="DF59" s="42">
        <f t="shared" si="59"/>
        <v>0</v>
      </c>
      <c r="DG59" s="42">
        <f t="shared" si="59"/>
        <v>0</v>
      </c>
      <c r="DH59" s="42">
        <f t="shared" si="59"/>
        <v>0</v>
      </c>
      <c r="DI59" s="42">
        <f t="shared" si="59"/>
        <v>0</v>
      </c>
      <c r="DJ59" s="42">
        <f t="shared" si="59"/>
        <v>0</v>
      </c>
      <c r="DK59" s="42">
        <f t="shared" si="59"/>
        <v>0</v>
      </c>
      <c r="DL59" s="42">
        <f t="shared" si="59"/>
        <v>0</v>
      </c>
      <c r="DM59" s="42">
        <f t="shared" si="59"/>
        <v>0</v>
      </c>
      <c r="DN59" s="42">
        <f t="shared" si="59"/>
        <v>0</v>
      </c>
      <c r="DO59" s="42">
        <f t="shared" si="59"/>
        <v>0</v>
      </c>
      <c r="DP59" s="42">
        <f t="shared" si="59"/>
        <v>0</v>
      </c>
      <c r="DQ59" s="42">
        <f t="shared" si="59"/>
        <v>0</v>
      </c>
      <c r="DR59" s="42">
        <f t="shared" si="59"/>
        <v>0</v>
      </c>
      <c r="DS59" s="42">
        <f t="shared" si="57"/>
        <v>0</v>
      </c>
      <c r="DT59" s="42">
        <f t="shared" si="53"/>
        <v>0</v>
      </c>
      <c r="DU59" s="42">
        <f t="shared" si="53"/>
        <v>0</v>
      </c>
      <c r="DV59" s="42">
        <f t="shared" si="53"/>
        <v>0</v>
      </c>
      <c r="DW59" s="42">
        <f t="shared" si="53"/>
        <v>0</v>
      </c>
      <c r="DX59" s="42">
        <f t="shared" si="53"/>
        <v>0</v>
      </c>
      <c r="DY59" s="42"/>
      <c r="DZ59" s="42">
        <f t="shared" si="54"/>
        <v>0</v>
      </c>
      <c r="EB59" s="47">
        <f t="shared" si="15"/>
        <v>0</v>
      </c>
      <c r="EC59" s="47">
        <f t="shared" si="16"/>
        <v>0</v>
      </c>
      <c r="ED59" s="47">
        <f t="shared" si="17"/>
        <v>0</v>
      </c>
      <c r="EJ59" s="74">
        <f t="shared" si="55"/>
        <v>0</v>
      </c>
      <c r="EK59" s="241"/>
    </row>
    <row r="60" spans="1:141" ht="28.8" hidden="1" customHeight="1" x14ac:dyDescent="0.3">
      <c r="A60" s="82" t="s">
        <v>135</v>
      </c>
      <c r="B60" s="83" t="s">
        <v>182</v>
      </c>
      <c r="C60" s="78" t="s">
        <v>183</v>
      </c>
      <c r="D60" s="50" t="s">
        <v>184</v>
      </c>
      <c r="E60" s="79">
        <v>410</v>
      </c>
      <c r="F60" s="60" t="s">
        <v>139</v>
      </c>
      <c r="G60" s="42">
        <f t="shared" si="42"/>
        <v>95000000</v>
      </c>
      <c r="H60" s="42"/>
      <c r="I60" s="42"/>
      <c r="J60" s="42"/>
      <c r="K60" s="42"/>
      <c r="L60" s="42"/>
      <c r="M60" s="42"/>
      <c r="N60" s="42"/>
      <c r="O60" s="42">
        <f>45000000+25000000</f>
        <v>70000000</v>
      </c>
      <c r="P60" s="42"/>
      <c r="Q60" s="42"/>
      <c r="R60" s="42">
        <v>10000000</v>
      </c>
      <c r="S60" s="42"/>
      <c r="T60" s="42">
        <v>5000000</v>
      </c>
      <c r="U60" s="42">
        <v>10000000</v>
      </c>
      <c r="V60" s="42"/>
      <c r="W60" s="42"/>
      <c r="X60" s="42"/>
      <c r="Y60" s="42"/>
      <c r="Z60" s="42"/>
      <c r="AA60" s="42"/>
      <c r="AB60" s="42"/>
      <c r="AC60" s="42"/>
      <c r="AD60" s="42"/>
      <c r="AE60" s="84">
        <f t="shared" si="32"/>
        <v>0.21810643157894738</v>
      </c>
      <c r="AF60" s="42">
        <f t="shared" si="43"/>
        <v>20720111</v>
      </c>
      <c r="AG60" s="42"/>
      <c r="AH60" s="42"/>
      <c r="AI60" s="42"/>
      <c r="AJ60" s="42"/>
      <c r="AK60" s="42"/>
      <c r="AL60" s="42"/>
      <c r="AM60" s="42"/>
      <c r="AN60" s="42">
        <f>+'[3]NOVIEMBRE 2019'!$Q$2492</f>
        <v>20720111</v>
      </c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3">
        <f t="shared" si="3"/>
        <v>0.78189356842105262</v>
      </c>
      <c r="BE60" s="42">
        <f t="shared" si="44"/>
        <v>74279889</v>
      </c>
      <c r="BF60" s="42">
        <f t="shared" si="45"/>
        <v>0</v>
      </c>
      <c r="BG60" s="42">
        <f t="shared" si="45"/>
        <v>0</v>
      </c>
      <c r="BH60" s="42">
        <f t="shared" si="45"/>
        <v>0</v>
      </c>
      <c r="BI60" s="42">
        <f t="shared" si="46"/>
        <v>0</v>
      </c>
      <c r="BJ60" s="42">
        <f t="shared" si="58"/>
        <v>0</v>
      </c>
      <c r="BK60" s="42">
        <f t="shared" si="58"/>
        <v>0</v>
      </c>
      <c r="BL60" s="42">
        <f t="shared" si="58"/>
        <v>0</v>
      </c>
      <c r="BM60" s="42">
        <f t="shared" si="58"/>
        <v>49279889</v>
      </c>
      <c r="BN60" s="42">
        <f t="shared" si="58"/>
        <v>0</v>
      </c>
      <c r="BO60" s="42">
        <f t="shared" si="58"/>
        <v>0</v>
      </c>
      <c r="BP60" s="42">
        <f t="shared" si="58"/>
        <v>10000000</v>
      </c>
      <c r="BQ60" s="42">
        <f t="shared" si="58"/>
        <v>0</v>
      </c>
      <c r="BR60" s="42">
        <f t="shared" si="58"/>
        <v>5000000</v>
      </c>
      <c r="BS60" s="42">
        <f t="shared" si="58"/>
        <v>10000000</v>
      </c>
      <c r="BT60" s="42">
        <f t="shared" si="58"/>
        <v>0</v>
      </c>
      <c r="BU60" s="42">
        <f t="shared" si="58"/>
        <v>0</v>
      </c>
      <c r="BV60" s="42">
        <f t="shared" si="58"/>
        <v>0</v>
      </c>
      <c r="BW60" s="42">
        <f t="shared" si="58"/>
        <v>0</v>
      </c>
      <c r="BX60" s="42">
        <f t="shared" si="58"/>
        <v>0</v>
      </c>
      <c r="BY60" s="42">
        <f t="shared" si="56"/>
        <v>0</v>
      </c>
      <c r="BZ60" s="42">
        <f t="shared" si="48"/>
        <v>0</v>
      </c>
      <c r="CA60" s="42"/>
      <c r="CB60" s="42">
        <f t="shared" si="49"/>
        <v>0</v>
      </c>
      <c r="CC60" s="43">
        <f t="shared" si="8"/>
        <v>0.16636562105263158</v>
      </c>
      <c r="CD60" s="42">
        <f t="shared" si="50"/>
        <v>15804734</v>
      </c>
      <c r="CE60" s="42"/>
      <c r="CF60" s="42"/>
      <c r="CG60" s="42"/>
      <c r="CH60" s="42"/>
      <c r="CI60" s="42"/>
      <c r="CJ60" s="42"/>
      <c r="CK60" s="42"/>
      <c r="CL60" s="42">
        <f>+'[3]NOVIEMBRE 2019'!$H$2490</f>
        <v>15804734</v>
      </c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3">
        <f t="shared" si="10"/>
        <v>0.83363437894736836</v>
      </c>
      <c r="DC60" s="42">
        <f t="shared" si="51"/>
        <v>79195266</v>
      </c>
      <c r="DD60" s="42">
        <f t="shared" si="59"/>
        <v>0</v>
      </c>
      <c r="DE60" s="42">
        <f t="shared" si="59"/>
        <v>0</v>
      </c>
      <c r="DF60" s="42">
        <f t="shared" si="59"/>
        <v>0</v>
      </c>
      <c r="DG60" s="42">
        <f t="shared" si="59"/>
        <v>0</v>
      </c>
      <c r="DH60" s="42">
        <f t="shared" si="59"/>
        <v>0</v>
      </c>
      <c r="DI60" s="42">
        <f t="shared" si="59"/>
        <v>0</v>
      </c>
      <c r="DJ60" s="42">
        <f t="shared" si="59"/>
        <v>0</v>
      </c>
      <c r="DK60" s="42">
        <f t="shared" si="59"/>
        <v>54195266</v>
      </c>
      <c r="DL60" s="42">
        <f t="shared" si="59"/>
        <v>0</v>
      </c>
      <c r="DM60" s="42">
        <f t="shared" si="59"/>
        <v>0</v>
      </c>
      <c r="DN60" s="42">
        <f t="shared" si="59"/>
        <v>10000000</v>
      </c>
      <c r="DO60" s="42">
        <f t="shared" si="59"/>
        <v>0</v>
      </c>
      <c r="DP60" s="42">
        <f t="shared" si="59"/>
        <v>5000000</v>
      </c>
      <c r="DQ60" s="42">
        <f t="shared" si="59"/>
        <v>10000000</v>
      </c>
      <c r="DR60" s="42">
        <f t="shared" si="59"/>
        <v>0</v>
      </c>
      <c r="DS60" s="42">
        <f t="shared" si="57"/>
        <v>0</v>
      </c>
      <c r="DT60" s="42">
        <f t="shared" si="53"/>
        <v>0</v>
      </c>
      <c r="DU60" s="42">
        <f t="shared" si="53"/>
        <v>0</v>
      </c>
      <c r="DV60" s="42">
        <f t="shared" si="53"/>
        <v>0</v>
      </c>
      <c r="DW60" s="42">
        <f t="shared" si="53"/>
        <v>0</v>
      </c>
      <c r="DX60" s="42">
        <f t="shared" si="53"/>
        <v>0</v>
      </c>
      <c r="DY60" s="42"/>
      <c r="DZ60" s="42">
        <f t="shared" si="54"/>
        <v>0</v>
      </c>
      <c r="EB60" s="47">
        <f t="shared" si="15"/>
        <v>95000000</v>
      </c>
      <c r="EC60" s="47">
        <f t="shared" si="16"/>
        <v>95000000</v>
      </c>
      <c r="ED60" s="47">
        <f t="shared" si="17"/>
        <v>95000000</v>
      </c>
      <c r="EJ60" s="74">
        <f t="shared" si="55"/>
        <v>15804734</v>
      </c>
      <c r="EK60" s="241"/>
    </row>
    <row r="61" spans="1:141" ht="28.8" hidden="1" customHeight="1" x14ac:dyDescent="0.3">
      <c r="A61" s="82"/>
      <c r="B61" s="85"/>
      <c r="C61" s="38" t="s">
        <v>185</v>
      </c>
      <c r="D61" s="50" t="s">
        <v>186</v>
      </c>
      <c r="E61" s="40">
        <v>410</v>
      </c>
      <c r="F61" s="41" t="s">
        <v>187</v>
      </c>
      <c r="G61" s="42">
        <f t="shared" si="42"/>
        <v>261502304</v>
      </c>
      <c r="H61" s="42"/>
      <c r="I61" s="42"/>
      <c r="J61" s="42"/>
      <c r="K61" s="42"/>
      <c r="L61" s="42"/>
      <c r="M61" s="42"/>
      <c r="N61" s="42"/>
      <c r="O61" s="42">
        <v>150000000</v>
      </c>
      <c r="P61" s="42"/>
      <c r="Q61" s="42"/>
      <c r="R61" s="42">
        <v>30000000</v>
      </c>
      <c r="S61" s="42"/>
      <c r="T61" s="42">
        <v>20000000</v>
      </c>
      <c r="U61" s="42">
        <f>30000000+10000000</f>
        <v>40000000</v>
      </c>
      <c r="V61" s="42"/>
      <c r="W61" s="42"/>
      <c r="X61" s="42"/>
      <c r="Y61" s="42"/>
      <c r="Z61" s="42"/>
      <c r="AA61" s="42"/>
      <c r="AB61" s="42"/>
      <c r="AC61" s="42"/>
      <c r="AD61" s="42">
        <f>21502304</f>
        <v>21502304</v>
      </c>
      <c r="AE61" s="43">
        <f t="shared" si="32"/>
        <v>0.43443331956264525</v>
      </c>
      <c r="AF61" s="42">
        <f t="shared" si="43"/>
        <v>113605314</v>
      </c>
      <c r="AG61" s="42"/>
      <c r="AH61" s="42"/>
      <c r="AI61" s="42"/>
      <c r="AJ61" s="42"/>
      <c r="AK61" s="42"/>
      <c r="AL61" s="42"/>
      <c r="AM61" s="42"/>
      <c r="AN61" s="42">
        <f>+'[3]NOVIEMBRE 2019'!$Q$2519</f>
        <v>89325875</v>
      </c>
      <c r="AO61" s="42"/>
      <c r="AP61" s="42"/>
      <c r="AQ61" s="42">
        <f>+'[1]OCTUBRE 2019'!$T$2256</f>
        <v>5005939</v>
      </c>
      <c r="AR61" s="42"/>
      <c r="AS61" s="42"/>
      <c r="AT61" s="42">
        <f>+'[2]SEPTIEMBRE 2019'!$W$2011</f>
        <v>7911500</v>
      </c>
      <c r="AU61" s="42"/>
      <c r="AV61" s="42"/>
      <c r="AW61" s="42"/>
      <c r="AX61" s="42"/>
      <c r="AY61" s="42"/>
      <c r="AZ61" s="42"/>
      <c r="BA61" s="42"/>
      <c r="BB61" s="42"/>
      <c r="BC61" s="42">
        <f>+'[3]NOVIEMBRE 2019'!$AG$2519</f>
        <v>11362000</v>
      </c>
      <c r="BD61" s="43">
        <f t="shared" si="3"/>
        <v>0.5655666804373547</v>
      </c>
      <c r="BE61" s="42">
        <f t="shared" si="44"/>
        <v>147896990</v>
      </c>
      <c r="BF61" s="42">
        <f t="shared" si="45"/>
        <v>0</v>
      </c>
      <c r="BG61" s="42">
        <f t="shared" si="45"/>
        <v>0</v>
      </c>
      <c r="BH61" s="42">
        <f t="shared" si="45"/>
        <v>0</v>
      </c>
      <c r="BI61" s="42">
        <f t="shared" si="46"/>
        <v>0</v>
      </c>
      <c r="BJ61" s="42">
        <f t="shared" si="58"/>
        <v>0</v>
      </c>
      <c r="BK61" s="42">
        <f t="shared" si="58"/>
        <v>0</v>
      </c>
      <c r="BL61" s="42">
        <f t="shared" si="58"/>
        <v>0</v>
      </c>
      <c r="BM61" s="42">
        <f t="shared" si="58"/>
        <v>60674125</v>
      </c>
      <c r="BN61" s="42">
        <f t="shared" si="58"/>
        <v>0</v>
      </c>
      <c r="BO61" s="42">
        <f t="shared" si="58"/>
        <v>0</v>
      </c>
      <c r="BP61" s="42">
        <f t="shared" si="58"/>
        <v>24994061</v>
      </c>
      <c r="BQ61" s="42">
        <f t="shared" si="58"/>
        <v>0</v>
      </c>
      <c r="BR61" s="42">
        <f t="shared" si="58"/>
        <v>20000000</v>
      </c>
      <c r="BS61" s="42">
        <f t="shared" si="58"/>
        <v>32088500</v>
      </c>
      <c r="BT61" s="42">
        <f t="shared" si="58"/>
        <v>0</v>
      </c>
      <c r="BU61" s="42">
        <f t="shared" si="58"/>
        <v>0</v>
      </c>
      <c r="BV61" s="42">
        <f t="shared" si="58"/>
        <v>0</v>
      </c>
      <c r="BW61" s="42">
        <f t="shared" si="58"/>
        <v>0</v>
      </c>
      <c r="BX61" s="42">
        <f t="shared" si="58"/>
        <v>0</v>
      </c>
      <c r="BY61" s="42">
        <f t="shared" si="56"/>
        <v>0</v>
      </c>
      <c r="BZ61" s="42">
        <f t="shared" si="48"/>
        <v>0</v>
      </c>
      <c r="CA61" s="42"/>
      <c r="CB61" s="42">
        <f t="shared" si="49"/>
        <v>10140304</v>
      </c>
      <c r="CC61" s="43">
        <f t="shared" si="8"/>
        <v>0.37350043386233417</v>
      </c>
      <c r="CD61" s="42">
        <f t="shared" si="50"/>
        <v>97671224</v>
      </c>
      <c r="CE61" s="42"/>
      <c r="CF61" s="42"/>
      <c r="CG61" s="42"/>
      <c r="CH61" s="42"/>
      <c r="CI61" s="42"/>
      <c r="CJ61" s="42"/>
      <c r="CK61" s="42"/>
      <c r="CL61" s="42">
        <f>+'[3]NOVIEMBRE 2019'!$H$2520+'[3]NOVIEMBRE 2019'!$H$2522+'[3]NOVIEMBRE 2019'!$H$2531+'[3]NOVIEMBRE 2019'!$H$2534+'[3]NOVIEMBRE 2019'!$H$2540+'[3]NOVIEMBRE 2019'!$H$2542+'[3]NOVIEMBRE 2019'!$H$2543+'[3]NOVIEMBRE 2019'!$H$2544+'[3]NOVIEMBRE 2019'!$H$2545+'[3]NOVIEMBRE 2019'!$H$2546+'[3]NOVIEMBRE 2019'!$H$2547+'[3]NOVIEMBRE 2019'!$H$2548+'[3]NOVIEMBRE 2019'!$H$2552+'[3]NOVIEMBRE 2019'!$H$2556+'[3]NOVIEMBRE 2019'!$H$2557+'[3]NOVIEMBRE 2019'!$H$2558+'[3]NOVIEMBRE 2019'!$H$2559+'[3]NOVIEMBRE 2019'!$H$2561+'[3]NOVIEMBRE 2019'!$H$2562+'[3]NOVIEMBRE 2019'!$H$2564+'[3]NOVIEMBRE 2019'!$H$2565+'[3]NOVIEMBRE 2019'!$H$2566+'[3]NOVIEMBRE 2019'!$H$2567+'[3]NOVIEMBRE 2019'!$H$2568+'[3]NOVIEMBRE 2019'!$H$2571+'[3]NOVIEMBRE 2019'!$H$2572+'[3]NOVIEMBRE 2019'!$H$2574+'[3]NOVIEMBRE 2019'!$H$2575+'[3]NOVIEMBRE 2019'!$H$2578+'[3]NOVIEMBRE 2019'!$H$2579+'[3]NOVIEMBRE 2019'!$H$2580+'[3]NOVIEMBRE 2019'!$H$2581+'[3]NOVIEMBRE 2019'!$H$2582+'[3]NOVIEMBRE 2019'!$H$2583+'[3]NOVIEMBRE 2019'!$H$2584+'[3]NOVIEMBRE 2019'!$H$2588+'[3]NOVIEMBRE 2019'!$H$2589+'[3]NOVIEMBRE 2019'!$H$2590+'[3]NOVIEMBRE 2019'!$H$2591+'[3]NOVIEMBRE 2019'!$H$2592+'[3]NOVIEMBRE 2019'!$H$2593+'[3]NOVIEMBRE 2019'!$H$2594+'[3]NOVIEMBRE 2019'!$H$2595+'[3]NOVIEMBRE 2019'!$H$2596+'[3]NOVIEMBRE 2019'!$H$2597+'[3]NOVIEMBRE 2019'!$H$2599+'[3]NOVIEMBRE 2019'!$H$2600+'[3]NOVIEMBRE 2019'!$H$2602+'[3]NOVIEMBRE 2019'!$H$2603+'[3]NOVIEMBRE 2019'!$H$2604+'[3]NOVIEMBRE 2019'!$H$2605+'[3]NOVIEMBRE 2019'!$H$2606+'[3]NOVIEMBRE 2019'!$H$2607</f>
        <v>73757018</v>
      </c>
      <c r="CM61" s="42"/>
      <c r="CN61" s="42"/>
      <c r="CO61" s="42">
        <f>+'[3]NOVIEMBRE 2019'!$H$2524+'[3]NOVIEMBRE 2019'!$H$2530+'[3]NOVIEMBRE 2019'!$H$2554+'[3]NOVIEMBRE 2019'!$H$2560+'[3]NOVIEMBRE 2019'!$H$2573+'[3]NOVIEMBRE 2019'!$H$2587</f>
        <v>4865259</v>
      </c>
      <c r="CP61" s="42"/>
      <c r="CQ61" s="42"/>
      <c r="CR61" s="42">
        <f>+'[3]NOVIEMBRE 2019'!$H$2529+'[3]NOVIEMBRE 2019'!$H$2532+'[3]NOVIEMBRE 2019'!$H$2536+'[3]NOVIEMBRE 2019'!$H$2539+'[3]NOVIEMBRE 2019'!$H$2541+'[3]NOVIEMBRE 2019'!$H$2570</f>
        <v>7686947</v>
      </c>
      <c r="CS61" s="42"/>
      <c r="CT61" s="42"/>
      <c r="CU61" s="42"/>
      <c r="CV61" s="42"/>
      <c r="CW61" s="42"/>
      <c r="CX61" s="42"/>
      <c r="CY61" s="42"/>
      <c r="CZ61" s="42"/>
      <c r="DA61" s="42">
        <f>+'[3]NOVIEMBRE 2019'!$H$2563+'[3]NOVIEMBRE 2019'!$H$2577+'[3]NOVIEMBRE 2019'!$H$2585+'[3]NOVIEMBRE 2019'!$H$2586+'[3]NOVIEMBRE 2019'!$H$2601</f>
        <v>11362000</v>
      </c>
      <c r="DB61" s="43">
        <f t="shared" si="10"/>
        <v>0.62649956613766578</v>
      </c>
      <c r="DC61" s="42">
        <f t="shared" si="51"/>
        <v>163831080</v>
      </c>
      <c r="DD61" s="42">
        <f t="shared" si="59"/>
        <v>0</v>
      </c>
      <c r="DE61" s="42">
        <f t="shared" si="59"/>
        <v>0</v>
      </c>
      <c r="DF61" s="42">
        <f t="shared" si="59"/>
        <v>0</v>
      </c>
      <c r="DG61" s="42">
        <f t="shared" si="59"/>
        <v>0</v>
      </c>
      <c r="DH61" s="42">
        <f t="shared" si="59"/>
        <v>0</v>
      </c>
      <c r="DI61" s="42">
        <f t="shared" si="59"/>
        <v>0</v>
      </c>
      <c r="DJ61" s="42">
        <f t="shared" si="59"/>
        <v>0</v>
      </c>
      <c r="DK61" s="42">
        <f t="shared" si="59"/>
        <v>76242982</v>
      </c>
      <c r="DL61" s="42">
        <f t="shared" si="59"/>
        <v>0</v>
      </c>
      <c r="DM61" s="42">
        <f t="shared" si="59"/>
        <v>0</v>
      </c>
      <c r="DN61" s="42">
        <f t="shared" si="59"/>
        <v>25134741</v>
      </c>
      <c r="DO61" s="42">
        <f t="shared" si="59"/>
        <v>0</v>
      </c>
      <c r="DP61" s="42">
        <f t="shared" si="59"/>
        <v>20000000</v>
      </c>
      <c r="DQ61" s="42">
        <f t="shared" si="59"/>
        <v>32313053</v>
      </c>
      <c r="DR61" s="42">
        <f t="shared" si="59"/>
        <v>0</v>
      </c>
      <c r="DS61" s="42">
        <f t="shared" si="57"/>
        <v>0</v>
      </c>
      <c r="DT61" s="42">
        <f t="shared" si="53"/>
        <v>0</v>
      </c>
      <c r="DU61" s="42">
        <f t="shared" si="53"/>
        <v>0</v>
      </c>
      <c r="DV61" s="42">
        <f t="shared" si="53"/>
        <v>0</v>
      </c>
      <c r="DW61" s="42">
        <f t="shared" si="53"/>
        <v>0</v>
      </c>
      <c r="DX61" s="42">
        <f t="shared" si="53"/>
        <v>0</v>
      </c>
      <c r="DY61" s="42"/>
      <c r="DZ61" s="42">
        <f t="shared" si="54"/>
        <v>10140304</v>
      </c>
      <c r="EB61" s="47">
        <f t="shared" si="15"/>
        <v>261502304</v>
      </c>
      <c r="EC61" s="47">
        <f t="shared" si="16"/>
        <v>261502304</v>
      </c>
      <c r="ED61" s="47">
        <f t="shared" si="17"/>
        <v>261502304</v>
      </c>
      <c r="EJ61" s="74">
        <f t="shared" si="55"/>
        <v>97671224</v>
      </c>
      <c r="EK61" s="241"/>
    </row>
    <row r="62" spans="1:141" ht="29.4" hidden="1" customHeight="1" x14ac:dyDescent="0.3">
      <c r="A62" s="82"/>
      <c r="B62" s="85"/>
      <c r="C62" s="38" t="s">
        <v>188</v>
      </c>
      <c r="D62" s="50" t="s">
        <v>189</v>
      </c>
      <c r="E62" s="40">
        <v>410</v>
      </c>
      <c r="F62" s="41" t="s">
        <v>190</v>
      </c>
      <c r="G62" s="42">
        <f t="shared" si="42"/>
        <v>150000000</v>
      </c>
      <c r="H62" s="42"/>
      <c r="I62" s="42"/>
      <c r="J62" s="42"/>
      <c r="K62" s="42"/>
      <c r="L62" s="42"/>
      <c r="M62" s="42"/>
      <c r="N62" s="42"/>
      <c r="O62" s="42">
        <v>50000000</v>
      </c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>
        <v>100000000</v>
      </c>
      <c r="AA62" s="42"/>
      <c r="AB62" s="42"/>
      <c r="AC62" s="42"/>
      <c r="AD62" s="42">
        <f>15000000-15000000</f>
        <v>0</v>
      </c>
      <c r="AE62" s="43">
        <f t="shared" si="32"/>
        <v>1</v>
      </c>
      <c r="AF62" s="42">
        <f t="shared" si="43"/>
        <v>150000000</v>
      </c>
      <c r="AG62" s="42"/>
      <c r="AH62" s="42"/>
      <c r="AI62" s="42"/>
      <c r="AJ62" s="42"/>
      <c r="AK62" s="42"/>
      <c r="AL62" s="42"/>
      <c r="AM62" s="42"/>
      <c r="AN62" s="42">
        <f>+'[7]MAYO 2019'!$P$1080</f>
        <v>50000000</v>
      </c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>
        <f>+'[7]MAYO 2019'!$AA$1080</f>
        <v>100000000</v>
      </c>
      <c r="AZ62" s="42"/>
      <c r="BA62" s="42"/>
      <c r="BB62" s="42"/>
      <c r="BC62" s="42"/>
      <c r="BD62" s="43">
        <f t="shared" si="3"/>
        <v>0</v>
      </c>
      <c r="BE62" s="42">
        <f t="shared" si="44"/>
        <v>0</v>
      </c>
      <c r="BF62" s="42">
        <f t="shared" si="45"/>
        <v>0</v>
      </c>
      <c r="BG62" s="42">
        <f t="shared" si="45"/>
        <v>0</v>
      </c>
      <c r="BH62" s="42">
        <f t="shared" si="45"/>
        <v>0</v>
      </c>
      <c r="BI62" s="42">
        <f t="shared" si="46"/>
        <v>0</v>
      </c>
      <c r="BJ62" s="42">
        <f t="shared" si="58"/>
        <v>0</v>
      </c>
      <c r="BK62" s="42">
        <f t="shared" si="58"/>
        <v>0</v>
      </c>
      <c r="BL62" s="42">
        <f t="shared" si="58"/>
        <v>0</v>
      </c>
      <c r="BM62" s="42">
        <f t="shared" si="58"/>
        <v>0</v>
      </c>
      <c r="BN62" s="42">
        <f t="shared" si="58"/>
        <v>0</v>
      </c>
      <c r="BO62" s="42">
        <f t="shared" si="58"/>
        <v>0</v>
      </c>
      <c r="BP62" s="42">
        <f t="shared" si="58"/>
        <v>0</v>
      </c>
      <c r="BQ62" s="42">
        <f t="shared" si="58"/>
        <v>0</v>
      </c>
      <c r="BR62" s="42">
        <f t="shared" si="58"/>
        <v>0</v>
      </c>
      <c r="BS62" s="42">
        <f t="shared" si="58"/>
        <v>0</v>
      </c>
      <c r="BT62" s="42">
        <f t="shared" si="58"/>
        <v>0</v>
      </c>
      <c r="BU62" s="42">
        <f t="shared" si="58"/>
        <v>0</v>
      </c>
      <c r="BV62" s="42">
        <f t="shared" si="58"/>
        <v>0</v>
      </c>
      <c r="BW62" s="42">
        <f t="shared" si="58"/>
        <v>0</v>
      </c>
      <c r="BX62" s="42">
        <f t="shared" si="58"/>
        <v>0</v>
      </c>
      <c r="BY62" s="42">
        <f t="shared" si="56"/>
        <v>0</v>
      </c>
      <c r="BZ62" s="42">
        <f t="shared" si="48"/>
        <v>0</v>
      </c>
      <c r="CA62" s="42"/>
      <c r="CB62" s="42">
        <f t="shared" si="49"/>
        <v>0</v>
      </c>
      <c r="CC62" s="43">
        <f t="shared" si="8"/>
        <v>0.67388324666666666</v>
      </c>
      <c r="CD62" s="42">
        <f t="shared" si="50"/>
        <v>101082487</v>
      </c>
      <c r="CE62" s="42"/>
      <c r="CF62" s="42"/>
      <c r="CG62" s="42"/>
      <c r="CH62" s="42"/>
      <c r="CI62" s="42"/>
      <c r="CJ62" s="42"/>
      <c r="CK62" s="42"/>
      <c r="CL62" s="42">
        <f>+'[12]JULIO 2019'!$H$1557</f>
        <v>31999995</v>
      </c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>
        <f>+'[12]JULIO 2019'!$H$1543+'[12]JULIO 2019'!$H$1545</f>
        <v>69082492</v>
      </c>
      <c r="CX62" s="42"/>
      <c r="CY62" s="42"/>
      <c r="CZ62" s="42"/>
      <c r="DA62" s="42"/>
      <c r="DB62" s="43">
        <f t="shared" si="10"/>
        <v>0.32611675333333334</v>
      </c>
      <c r="DC62" s="42">
        <f t="shared" si="51"/>
        <v>48917513</v>
      </c>
      <c r="DD62" s="42">
        <f t="shared" si="59"/>
        <v>0</v>
      </c>
      <c r="DE62" s="42">
        <f t="shared" si="59"/>
        <v>0</v>
      </c>
      <c r="DF62" s="42">
        <f t="shared" si="59"/>
        <v>0</v>
      </c>
      <c r="DG62" s="42">
        <f t="shared" si="59"/>
        <v>0</v>
      </c>
      <c r="DH62" s="42">
        <f t="shared" si="59"/>
        <v>0</v>
      </c>
      <c r="DI62" s="42">
        <f t="shared" si="59"/>
        <v>0</v>
      </c>
      <c r="DJ62" s="42">
        <f t="shared" si="59"/>
        <v>0</v>
      </c>
      <c r="DK62" s="42">
        <f t="shared" si="59"/>
        <v>18000005</v>
      </c>
      <c r="DL62" s="42">
        <f t="shared" si="59"/>
        <v>0</v>
      </c>
      <c r="DM62" s="42">
        <f t="shared" si="59"/>
        <v>0</v>
      </c>
      <c r="DN62" s="42">
        <f t="shared" si="59"/>
        <v>0</v>
      </c>
      <c r="DO62" s="42">
        <f t="shared" si="59"/>
        <v>0</v>
      </c>
      <c r="DP62" s="42">
        <f t="shared" si="59"/>
        <v>0</v>
      </c>
      <c r="DQ62" s="42">
        <f t="shared" si="59"/>
        <v>0</v>
      </c>
      <c r="DR62" s="42">
        <f t="shared" si="59"/>
        <v>0</v>
      </c>
      <c r="DS62" s="42">
        <f t="shared" si="57"/>
        <v>0</v>
      </c>
      <c r="DT62" s="42">
        <f t="shared" si="53"/>
        <v>0</v>
      </c>
      <c r="DU62" s="42">
        <f t="shared" si="53"/>
        <v>0</v>
      </c>
      <c r="DV62" s="42">
        <f t="shared" si="53"/>
        <v>30917508</v>
      </c>
      <c r="DW62" s="42">
        <f t="shared" si="53"/>
        <v>0</v>
      </c>
      <c r="DX62" s="42">
        <f t="shared" si="53"/>
        <v>0</v>
      </c>
      <c r="DY62" s="42"/>
      <c r="DZ62" s="42">
        <f t="shared" si="54"/>
        <v>0</v>
      </c>
      <c r="EB62" s="47">
        <f t="shared" si="15"/>
        <v>150000000</v>
      </c>
      <c r="EC62" s="47">
        <f t="shared" si="16"/>
        <v>150000000</v>
      </c>
      <c r="ED62" s="47">
        <f t="shared" si="17"/>
        <v>150000000</v>
      </c>
      <c r="EJ62" s="74">
        <f t="shared" si="55"/>
        <v>101082487</v>
      </c>
      <c r="EK62" s="241"/>
    </row>
    <row r="63" spans="1:141" ht="26.4" hidden="1" customHeight="1" x14ac:dyDescent="0.3">
      <c r="A63" s="82"/>
      <c r="B63" s="86"/>
      <c r="C63" s="38" t="s">
        <v>191</v>
      </c>
      <c r="D63" s="50" t="s">
        <v>192</v>
      </c>
      <c r="E63" s="40">
        <v>410</v>
      </c>
      <c r="F63" s="41" t="s">
        <v>139</v>
      </c>
      <c r="G63" s="42">
        <f t="shared" si="42"/>
        <v>80000000</v>
      </c>
      <c r="H63" s="42"/>
      <c r="I63" s="42"/>
      <c r="J63" s="42"/>
      <c r="K63" s="42"/>
      <c r="L63" s="42"/>
      <c r="M63" s="42"/>
      <c r="N63" s="42"/>
      <c r="O63" s="42">
        <v>80000000</v>
      </c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3">
        <f t="shared" si="32"/>
        <v>0.77730809999999995</v>
      </c>
      <c r="AF63" s="42">
        <f t="shared" si="43"/>
        <v>62184648</v>
      </c>
      <c r="AG63" s="42"/>
      <c r="AH63" s="42"/>
      <c r="AI63" s="42"/>
      <c r="AJ63" s="42"/>
      <c r="AK63" s="42"/>
      <c r="AL63" s="42"/>
      <c r="AM63" s="42"/>
      <c r="AN63" s="42">
        <f>+'[2]SEPTIEMBRE 2019'!$Q$2093</f>
        <v>62184648</v>
      </c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3">
        <f t="shared" si="3"/>
        <v>0.22269190000000005</v>
      </c>
      <c r="BE63" s="42">
        <f t="shared" si="44"/>
        <v>17815352</v>
      </c>
      <c r="BF63" s="42">
        <f t="shared" si="45"/>
        <v>0</v>
      </c>
      <c r="BG63" s="42">
        <f t="shared" si="45"/>
        <v>0</v>
      </c>
      <c r="BH63" s="42">
        <f t="shared" si="45"/>
        <v>0</v>
      </c>
      <c r="BI63" s="42">
        <f t="shared" si="46"/>
        <v>0</v>
      </c>
      <c r="BJ63" s="42">
        <f t="shared" si="58"/>
        <v>0</v>
      </c>
      <c r="BK63" s="42">
        <f t="shared" si="58"/>
        <v>0</v>
      </c>
      <c r="BL63" s="42">
        <f t="shared" si="58"/>
        <v>0</v>
      </c>
      <c r="BM63" s="42">
        <f t="shared" si="58"/>
        <v>17815352</v>
      </c>
      <c r="BN63" s="42">
        <f t="shared" si="58"/>
        <v>0</v>
      </c>
      <c r="BO63" s="42">
        <f t="shared" si="58"/>
        <v>0</v>
      </c>
      <c r="BP63" s="42">
        <f t="shared" si="58"/>
        <v>0</v>
      </c>
      <c r="BQ63" s="42">
        <f t="shared" si="58"/>
        <v>0</v>
      </c>
      <c r="BR63" s="42">
        <f t="shared" si="58"/>
        <v>0</v>
      </c>
      <c r="BS63" s="42">
        <f t="shared" si="58"/>
        <v>0</v>
      </c>
      <c r="BT63" s="42">
        <f t="shared" si="58"/>
        <v>0</v>
      </c>
      <c r="BU63" s="42">
        <f t="shared" si="58"/>
        <v>0</v>
      </c>
      <c r="BV63" s="42">
        <f t="shared" si="58"/>
        <v>0</v>
      </c>
      <c r="BW63" s="42">
        <f t="shared" si="58"/>
        <v>0</v>
      </c>
      <c r="BX63" s="42">
        <f t="shared" si="58"/>
        <v>0</v>
      </c>
      <c r="BY63" s="42">
        <f t="shared" si="56"/>
        <v>0</v>
      </c>
      <c r="BZ63" s="42">
        <f t="shared" si="48"/>
        <v>0</v>
      </c>
      <c r="CA63" s="42"/>
      <c r="CB63" s="42">
        <f t="shared" si="49"/>
        <v>0</v>
      </c>
      <c r="CC63" s="43">
        <f t="shared" si="8"/>
        <v>0.5846618375</v>
      </c>
      <c r="CD63" s="42">
        <f t="shared" si="50"/>
        <v>46772947</v>
      </c>
      <c r="CE63" s="42"/>
      <c r="CF63" s="42"/>
      <c r="CG63" s="42"/>
      <c r="CH63" s="42"/>
      <c r="CI63" s="42"/>
      <c r="CJ63" s="42"/>
      <c r="CK63" s="42"/>
      <c r="CL63" s="42">
        <f>+'[1]OCTUBRE 2019'!$H$2357</f>
        <v>46772947</v>
      </c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3">
        <f t="shared" si="10"/>
        <v>0.4153381625</v>
      </c>
      <c r="DC63" s="42">
        <f t="shared" si="51"/>
        <v>33227053</v>
      </c>
      <c r="DD63" s="42">
        <f t="shared" si="59"/>
        <v>0</v>
      </c>
      <c r="DE63" s="42">
        <f t="shared" si="59"/>
        <v>0</v>
      </c>
      <c r="DF63" s="42">
        <f t="shared" si="59"/>
        <v>0</v>
      </c>
      <c r="DG63" s="42">
        <f t="shared" si="59"/>
        <v>0</v>
      </c>
      <c r="DH63" s="42">
        <f t="shared" si="59"/>
        <v>0</v>
      </c>
      <c r="DI63" s="42">
        <f t="shared" si="59"/>
        <v>0</v>
      </c>
      <c r="DJ63" s="42">
        <f t="shared" si="59"/>
        <v>0</v>
      </c>
      <c r="DK63" s="42">
        <f t="shared" si="59"/>
        <v>33227053</v>
      </c>
      <c r="DL63" s="42">
        <f t="shared" si="59"/>
        <v>0</v>
      </c>
      <c r="DM63" s="42">
        <f t="shared" si="59"/>
        <v>0</v>
      </c>
      <c r="DN63" s="42">
        <f t="shared" si="59"/>
        <v>0</v>
      </c>
      <c r="DO63" s="42">
        <f t="shared" si="59"/>
        <v>0</v>
      </c>
      <c r="DP63" s="42">
        <f t="shared" si="59"/>
        <v>0</v>
      </c>
      <c r="DQ63" s="42">
        <f t="shared" si="59"/>
        <v>0</v>
      </c>
      <c r="DR63" s="42">
        <f t="shared" si="59"/>
        <v>0</v>
      </c>
      <c r="DS63" s="42">
        <f t="shared" si="57"/>
        <v>0</v>
      </c>
      <c r="DT63" s="42">
        <f t="shared" si="53"/>
        <v>0</v>
      </c>
      <c r="DU63" s="42">
        <f t="shared" si="53"/>
        <v>0</v>
      </c>
      <c r="DV63" s="42">
        <f t="shared" si="53"/>
        <v>0</v>
      </c>
      <c r="DW63" s="42">
        <f t="shared" si="53"/>
        <v>0</v>
      </c>
      <c r="DX63" s="42">
        <f t="shared" si="53"/>
        <v>0</v>
      </c>
      <c r="DY63" s="42"/>
      <c r="DZ63" s="42">
        <f t="shared" si="54"/>
        <v>0</v>
      </c>
      <c r="EB63" s="47">
        <f t="shared" si="15"/>
        <v>80000000</v>
      </c>
      <c r="EC63" s="47">
        <f t="shared" si="16"/>
        <v>80000000</v>
      </c>
      <c r="ED63" s="47">
        <f t="shared" si="17"/>
        <v>80000000</v>
      </c>
      <c r="EJ63" s="74">
        <f t="shared" si="55"/>
        <v>46772947</v>
      </c>
      <c r="EK63" s="241"/>
    </row>
    <row r="64" spans="1:141" ht="25.8" hidden="1" customHeight="1" x14ac:dyDescent="0.3">
      <c r="A64" s="82"/>
      <c r="B64" s="83" t="s">
        <v>193</v>
      </c>
      <c r="C64" s="38" t="s">
        <v>194</v>
      </c>
      <c r="D64" s="50" t="s">
        <v>195</v>
      </c>
      <c r="E64" s="40">
        <v>410</v>
      </c>
      <c r="F64" s="41" t="s">
        <v>139</v>
      </c>
      <c r="G64" s="42">
        <f t="shared" si="42"/>
        <v>869968071</v>
      </c>
      <c r="H64" s="42"/>
      <c r="I64" s="42"/>
      <c r="J64" s="42"/>
      <c r="K64" s="42"/>
      <c r="L64" s="42"/>
      <c r="M64" s="42"/>
      <c r="N64" s="42"/>
      <c r="O64" s="42"/>
      <c r="P64" s="42">
        <f>45960534-45960534</f>
        <v>0</v>
      </c>
      <c r="Q64" s="42">
        <f>45960534-45960534</f>
        <v>0</v>
      </c>
      <c r="R64" s="42">
        <f>45960534-45960534</f>
        <v>0</v>
      </c>
      <c r="S64" s="42">
        <f>480000000+221840643</f>
        <v>701840643</v>
      </c>
      <c r="T64" s="42"/>
      <c r="U64" s="42"/>
      <c r="V64" s="42"/>
      <c r="W64" s="42"/>
      <c r="X64" s="42"/>
      <c r="Y64" s="42">
        <v>52565530</v>
      </c>
      <c r="Z64" s="42">
        <v>105561898</v>
      </c>
      <c r="AA64" s="42"/>
      <c r="AB64" s="42"/>
      <c r="AC64" s="42"/>
      <c r="AD64" s="42">
        <f>10000000</f>
        <v>10000000</v>
      </c>
      <c r="AE64" s="43">
        <f t="shared" si="32"/>
        <v>0.97782432523319585</v>
      </c>
      <c r="AF64" s="42">
        <f t="shared" si="43"/>
        <v>850675942</v>
      </c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>
        <f>+'[3]NOVIEMBRE 2019'!$U$2661</f>
        <v>699981600</v>
      </c>
      <c r="AS64" s="42"/>
      <c r="AT64" s="42"/>
      <c r="AU64" s="42"/>
      <c r="AV64" s="42"/>
      <c r="AW64" s="42"/>
      <c r="AX64" s="42">
        <f>+'[3]NOVIEMBRE 2019'!$AA$2661</f>
        <v>46996115</v>
      </c>
      <c r="AY64" s="42">
        <f>+'[7]MAYO 2019'!$AA$1107</f>
        <v>103698227</v>
      </c>
      <c r="AZ64" s="42"/>
      <c r="BA64" s="42"/>
      <c r="BB64" s="42"/>
      <c r="BC64" s="42"/>
      <c r="BD64" s="43">
        <f t="shared" si="3"/>
        <v>2.2175674766804154E-2</v>
      </c>
      <c r="BE64" s="42">
        <f t="shared" si="44"/>
        <v>19292129</v>
      </c>
      <c r="BF64" s="42">
        <f t="shared" si="45"/>
        <v>0</v>
      </c>
      <c r="BG64" s="42">
        <f t="shared" si="45"/>
        <v>0</v>
      </c>
      <c r="BH64" s="42">
        <f t="shared" si="45"/>
        <v>0</v>
      </c>
      <c r="BI64" s="42">
        <f t="shared" si="46"/>
        <v>0</v>
      </c>
      <c r="BJ64" s="42">
        <f t="shared" si="58"/>
        <v>0</v>
      </c>
      <c r="BK64" s="42">
        <f t="shared" si="58"/>
        <v>0</v>
      </c>
      <c r="BL64" s="42">
        <f t="shared" si="58"/>
        <v>0</v>
      </c>
      <c r="BM64" s="42">
        <f t="shared" si="58"/>
        <v>0</v>
      </c>
      <c r="BN64" s="42">
        <f t="shared" si="58"/>
        <v>0</v>
      </c>
      <c r="BO64" s="42">
        <f t="shared" si="58"/>
        <v>0</v>
      </c>
      <c r="BP64" s="42">
        <f t="shared" si="58"/>
        <v>0</v>
      </c>
      <c r="BQ64" s="42">
        <f t="shared" si="58"/>
        <v>1859043</v>
      </c>
      <c r="BR64" s="42">
        <f t="shared" si="58"/>
        <v>0</v>
      </c>
      <c r="BS64" s="42">
        <f t="shared" si="58"/>
        <v>0</v>
      </c>
      <c r="BT64" s="42">
        <f t="shared" si="58"/>
        <v>0</v>
      </c>
      <c r="BU64" s="42">
        <f t="shared" si="58"/>
        <v>0</v>
      </c>
      <c r="BV64" s="42">
        <f t="shared" si="58"/>
        <v>0</v>
      </c>
      <c r="BW64" s="42">
        <f t="shared" si="58"/>
        <v>5569415</v>
      </c>
      <c r="BX64" s="42">
        <f t="shared" si="58"/>
        <v>1863671</v>
      </c>
      <c r="BY64" s="42">
        <f t="shared" si="56"/>
        <v>0</v>
      </c>
      <c r="BZ64" s="42">
        <f t="shared" si="48"/>
        <v>0</v>
      </c>
      <c r="CA64" s="42"/>
      <c r="CB64" s="42">
        <f t="shared" si="49"/>
        <v>10000000</v>
      </c>
      <c r="CC64" s="43">
        <f t="shared" si="8"/>
        <v>0.77529350154736887</v>
      </c>
      <c r="CD64" s="42">
        <f t="shared" si="50"/>
        <v>674480592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>
        <f>+'[3]NOVIEMBRE 2019'!$H$2659-CV64-CW64</f>
        <v>556842928</v>
      </c>
      <c r="CQ64" s="42"/>
      <c r="CR64" s="42"/>
      <c r="CS64" s="42"/>
      <c r="CT64" s="42"/>
      <c r="CU64" s="42"/>
      <c r="CV64" s="42">
        <f>+'[3]NOVIEMBRE 2019'!$H$2990+'[3]NOVIEMBRE 2019'!$H$2991+'[3]NOVIEMBRE 2019'!$H$2994+'[3]NOVIEMBRE 2019'!$H$2995+'[3]NOVIEMBRE 2019'!$H$2996+'[3]NOVIEMBRE 2019'!$H$2998+'[3]NOVIEMBRE 2019'!$H$2999</f>
        <v>15663110</v>
      </c>
      <c r="CW64" s="42">
        <f>+'[3]NOVIEMBRE 2019'!$H$2662+'[3]NOVIEMBRE 2019'!$H$2664+'[3]NOVIEMBRE 2019'!$H$2666+'[3]NOVIEMBRE 2019'!$H$2669+'[3]NOVIEMBRE 2019'!$H$2671+'[3]NOVIEMBRE 2019'!$H$2673+'[3]NOVIEMBRE 2019'!$H$2675+'[3]NOVIEMBRE 2019'!$H$2678+'[3]NOVIEMBRE 2019'!$H$2680+'[3]NOVIEMBRE 2019'!$H$2683+'[3]NOVIEMBRE 2019'!$H$2684+'[3]NOVIEMBRE 2019'!$H$2685+'[3]NOVIEMBRE 2019'!$H$2687+'[3]NOVIEMBRE 2019'!$H$2691+'[3]NOVIEMBRE 2019'!$H$2692+'[3]NOVIEMBRE 2019'!$H$2693+'[3]NOVIEMBRE 2019'!$H$2694+'[3]NOVIEMBRE 2019'!$H$2695+'[3]NOVIEMBRE 2019'!$H$2696+'[3]NOVIEMBRE 2019'!$H$2697+'[3]NOVIEMBRE 2019'!$H$2699</f>
        <v>101974554</v>
      </c>
      <c r="CX64" s="42"/>
      <c r="CY64" s="42"/>
      <c r="CZ64" s="42"/>
      <c r="DA64" s="42"/>
      <c r="DB64" s="43">
        <f t="shared" si="10"/>
        <v>0.22470649845263113</v>
      </c>
      <c r="DC64" s="42">
        <f t="shared" si="51"/>
        <v>195487479</v>
      </c>
      <c r="DD64" s="42">
        <f t="shared" si="59"/>
        <v>0</v>
      </c>
      <c r="DE64" s="42">
        <f t="shared" si="59"/>
        <v>0</v>
      </c>
      <c r="DF64" s="42">
        <f t="shared" si="59"/>
        <v>0</v>
      </c>
      <c r="DG64" s="42">
        <f t="shared" si="59"/>
        <v>0</v>
      </c>
      <c r="DH64" s="42">
        <f t="shared" si="59"/>
        <v>0</v>
      </c>
      <c r="DI64" s="42">
        <f t="shared" si="59"/>
        <v>0</v>
      </c>
      <c r="DJ64" s="42">
        <f t="shared" si="59"/>
        <v>0</v>
      </c>
      <c r="DK64" s="42">
        <f t="shared" si="59"/>
        <v>0</v>
      </c>
      <c r="DL64" s="42">
        <f t="shared" si="59"/>
        <v>0</v>
      </c>
      <c r="DM64" s="42">
        <f t="shared" si="59"/>
        <v>0</v>
      </c>
      <c r="DN64" s="42">
        <f t="shared" si="59"/>
        <v>0</v>
      </c>
      <c r="DO64" s="42">
        <f t="shared" si="59"/>
        <v>144997715</v>
      </c>
      <c r="DP64" s="42">
        <f t="shared" si="59"/>
        <v>0</v>
      </c>
      <c r="DQ64" s="42">
        <f t="shared" si="59"/>
        <v>0</v>
      </c>
      <c r="DR64" s="42">
        <f t="shared" si="59"/>
        <v>0</v>
      </c>
      <c r="DS64" s="42">
        <f t="shared" si="57"/>
        <v>0</v>
      </c>
      <c r="DT64" s="42">
        <f t="shared" si="53"/>
        <v>0</v>
      </c>
      <c r="DU64" s="42">
        <f t="shared" si="53"/>
        <v>36902420</v>
      </c>
      <c r="DV64" s="42">
        <f t="shared" si="53"/>
        <v>3587344</v>
      </c>
      <c r="DW64" s="42">
        <f t="shared" si="53"/>
        <v>0</v>
      </c>
      <c r="DX64" s="42">
        <f t="shared" si="53"/>
        <v>0</v>
      </c>
      <c r="DY64" s="42"/>
      <c r="DZ64" s="42">
        <f t="shared" si="54"/>
        <v>10000000</v>
      </c>
      <c r="EB64" s="47">
        <f t="shared" si="15"/>
        <v>869968071</v>
      </c>
      <c r="EC64" s="47">
        <f t="shared" si="16"/>
        <v>869968071</v>
      </c>
      <c r="ED64" s="47">
        <f t="shared" si="17"/>
        <v>869968071</v>
      </c>
      <c r="EJ64" s="74">
        <f t="shared" si="55"/>
        <v>674480592</v>
      </c>
      <c r="EK64" s="241"/>
    </row>
    <row r="65" spans="1:141" ht="17.399999999999999" hidden="1" customHeight="1" x14ac:dyDescent="0.3">
      <c r="A65" s="82"/>
      <c r="B65" s="85"/>
      <c r="C65" s="38" t="s">
        <v>196</v>
      </c>
      <c r="D65" s="50" t="s">
        <v>197</v>
      </c>
      <c r="E65" s="40">
        <v>410</v>
      </c>
      <c r="F65" s="41" t="s">
        <v>139</v>
      </c>
      <c r="G65" s="42">
        <f t="shared" si="42"/>
        <v>10000000</v>
      </c>
      <c r="H65" s="42"/>
      <c r="I65" s="42"/>
      <c r="J65" s="42"/>
      <c r="K65" s="42"/>
      <c r="L65" s="42"/>
      <c r="M65" s="42"/>
      <c r="N65" s="42"/>
      <c r="O65" s="42">
        <v>10000000</v>
      </c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3">
        <f t="shared" si="32"/>
        <v>0.77810000000000001</v>
      </c>
      <c r="AF65" s="42">
        <f t="shared" si="43"/>
        <v>7781000</v>
      </c>
      <c r="AG65" s="42"/>
      <c r="AH65" s="42"/>
      <c r="AI65" s="42"/>
      <c r="AJ65" s="42"/>
      <c r="AK65" s="42"/>
      <c r="AL65" s="42"/>
      <c r="AM65" s="42"/>
      <c r="AN65" s="42">
        <f>+'[1]OCTUBRE 2019'!$Q$2682</f>
        <v>7781000</v>
      </c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3">
        <f t="shared" si="3"/>
        <v>0.22189999999999999</v>
      </c>
      <c r="BE65" s="42">
        <f t="shared" si="44"/>
        <v>2219000</v>
      </c>
      <c r="BF65" s="42">
        <f t="shared" si="45"/>
        <v>0</v>
      </c>
      <c r="BG65" s="42">
        <f t="shared" si="45"/>
        <v>0</v>
      </c>
      <c r="BH65" s="42">
        <f t="shared" si="45"/>
        <v>0</v>
      </c>
      <c r="BI65" s="42">
        <f t="shared" si="46"/>
        <v>0</v>
      </c>
      <c r="BJ65" s="42">
        <f t="shared" si="58"/>
        <v>0</v>
      </c>
      <c r="BK65" s="42">
        <f t="shared" si="58"/>
        <v>0</v>
      </c>
      <c r="BL65" s="42">
        <f t="shared" si="58"/>
        <v>0</v>
      </c>
      <c r="BM65" s="42">
        <f t="shared" si="58"/>
        <v>2219000</v>
      </c>
      <c r="BN65" s="42">
        <f t="shared" si="58"/>
        <v>0</v>
      </c>
      <c r="BO65" s="42">
        <f t="shared" si="58"/>
        <v>0</v>
      </c>
      <c r="BP65" s="42">
        <f t="shared" si="58"/>
        <v>0</v>
      </c>
      <c r="BQ65" s="42">
        <f t="shared" si="58"/>
        <v>0</v>
      </c>
      <c r="BR65" s="42">
        <f t="shared" si="58"/>
        <v>0</v>
      </c>
      <c r="BS65" s="42">
        <f t="shared" si="58"/>
        <v>0</v>
      </c>
      <c r="BT65" s="42">
        <f t="shared" si="58"/>
        <v>0</v>
      </c>
      <c r="BU65" s="42">
        <f t="shared" si="58"/>
        <v>0</v>
      </c>
      <c r="BV65" s="42">
        <f t="shared" si="58"/>
        <v>0</v>
      </c>
      <c r="BW65" s="42">
        <f t="shared" si="58"/>
        <v>0</v>
      </c>
      <c r="BX65" s="42">
        <f t="shared" si="58"/>
        <v>0</v>
      </c>
      <c r="BY65" s="42">
        <f t="shared" si="56"/>
        <v>0</v>
      </c>
      <c r="BZ65" s="42">
        <f t="shared" si="48"/>
        <v>0</v>
      </c>
      <c r="CA65" s="42"/>
      <c r="CB65" s="42">
        <f t="shared" si="49"/>
        <v>0</v>
      </c>
      <c r="CC65" s="43">
        <f t="shared" si="8"/>
        <v>0.54790000000000005</v>
      </c>
      <c r="CD65" s="42">
        <f t="shared" si="50"/>
        <v>5479000</v>
      </c>
      <c r="CE65" s="42"/>
      <c r="CF65" s="42"/>
      <c r="CG65" s="42"/>
      <c r="CH65" s="42"/>
      <c r="CI65" s="42"/>
      <c r="CJ65" s="42"/>
      <c r="CK65" s="42"/>
      <c r="CL65" s="42">
        <f>+'[1]OCTUBRE 2019'!$H$2680</f>
        <v>5479000</v>
      </c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3">
        <f t="shared" si="10"/>
        <v>0.45209999999999995</v>
      </c>
      <c r="DC65" s="42">
        <f t="shared" si="51"/>
        <v>4521000</v>
      </c>
      <c r="DD65" s="42">
        <f t="shared" si="59"/>
        <v>0</v>
      </c>
      <c r="DE65" s="42">
        <f t="shared" si="59"/>
        <v>0</v>
      </c>
      <c r="DF65" s="42">
        <f t="shared" si="59"/>
        <v>0</v>
      </c>
      <c r="DG65" s="42">
        <f t="shared" si="59"/>
        <v>0</v>
      </c>
      <c r="DH65" s="42">
        <f t="shared" si="59"/>
        <v>0</v>
      </c>
      <c r="DI65" s="42">
        <f t="shared" si="59"/>
        <v>0</v>
      </c>
      <c r="DJ65" s="42">
        <f t="shared" si="59"/>
        <v>0</v>
      </c>
      <c r="DK65" s="42">
        <f t="shared" si="59"/>
        <v>4521000</v>
      </c>
      <c r="DL65" s="42">
        <f t="shared" si="59"/>
        <v>0</v>
      </c>
      <c r="DM65" s="42">
        <f t="shared" si="59"/>
        <v>0</v>
      </c>
      <c r="DN65" s="42">
        <f t="shared" si="59"/>
        <v>0</v>
      </c>
      <c r="DO65" s="42">
        <f t="shared" si="59"/>
        <v>0</v>
      </c>
      <c r="DP65" s="42">
        <f t="shared" si="59"/>
        <v>0</v>
      </c>
      <c r="DQ65" s="42">
        <f t="shared" si="59"/>
        <v>0</v>
      </c>
      <c r="DR65" s="42">
        <f t="shared" si="59"/>
        <v>0</v>
      </c>
      <c r="DS65" s="42">
        <f t="shared" si="57"/>
        <v>0</v>
      </c>
      <c r="DT65" s="42">
        <f t="shared" si="53"/>
        <v>0</v>
      </c>
      <c r="DU65" s="42">
        <f t="shared" si="53"/>
        <v>0</v>
      </c>
      <c r="DV65" s="42">
        <f t="shared" si="53"/>
        <v>0</v>
      </c>
      <c r="DW65" s="42">
        <f t="shared" si="53"/>
        <v>0</v>
      </c>
      <c r="DX65" s="42">
        <f t="shared" si="53"/>
        <v>0</v>
      </c>
      <c r="DY65" s="42"/>
      <c r="DZ65" s="42">
        <f t="shared" si="54"/>
        <v>0</v>
      </c>
      <c r="EB65" s="47">
        <f t="shared" si="15"/>
        <v>10000000</v>
      </c>
      <c r="EC65" s="47">
        <f t="shared" si="16"/>
        <v>10000000</v>
      </c>
      <c r="ED65" s="47">
        <f t="shared" si="17"/>
        <v>10000000</v>
      </c>
      <c r="EJ65" s="74">
        <f t="shared" si="55"/>
        <v>5479000</v>
      </c>
      <c r="EK65" s="241"/>
    </row>
    <row r="66" spans="1:141" ht="16.2" hidden="1" customHeight="1" x14ac:dyDescent="0.3">
      <c r="A66" s="82"/>
      <c r="B66" s="85"/>
      <c r="C66" s="38" t="s">
        <v>198</v>
      </c>
      <c r="D66" s="50" t="s">
        <v>199</v>
      </c>
      <c r="E66" s="40">
        <v>410</v>
      </c>
      <c r="F66" s="41" t="s">
        <v>139</v>
      </c>
      <c r="G66" s="42">
        <f t="shared" si="42"/>
        <v>10000000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>
        <v>10000000</v>
      </c>
      <c r="AA66" s="42"/>
      <c r="AB66" s="42"/>
      <c r="AC66" s="42"/>
      <c r="AD66" s="42"/>
      <c r="AE66" s="43">
        <f t="shared" si="32"/>
        <v>0.45</v>
      </c>
      <c r="AF66" s="42">
        <f t="shared" si="43"/>
        <v>4500000</v>
      </c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>
        <f>+'[3]NOVIEMBRE 2019'!$AB$3019</f>
        <v>4500000</v>
      </c>
      <c r="AZ66" s="42"/>
      <c r="BA66" s="42"/>
      <c r="BB66" s="42"/>
      <c r="BC66" s="42"/>
      <c r="BD66" s="43">
        <f t="shared" si="3"/>
        <v>0.55000000000000004</v>
      </c>
      <c r="BE66" s="42">
        <f t="shared" si="44"/>
        <v>5500000</v>
      </c>
      <c r="BF66" s="42">
        <f t="shared" si="45"/>
        <v>0</v>
      </c>
      <c r="BG66" s="42">
        <f t="shared" si="45"/>
        <v>0</v>
      </c>
      <c r="BH66" s="42">
        <f t="shared" si="45"/>
        <v>0</v>
      </c>
      <c r="BI66" s="42">
        <f t="shared" si="46"/>
        <v>0</v>
      </c>
      <c r="BJ66" s="42">
        <f t="shared" si="58"/>
        <v>0</v>
      </c>
      <c r="BK66" s="42">
        <f t="shared" si="58"/>
        <v>0</v>
      </c>
      <c r="BL66" s="42">
        <f t="shared" si="58"/>
        <v>0</v>
      </c>
      <c r="BM66" s="42">
        <f t="shared" si="58"/>
        <v>0</v>
      </c>
      <c r="BN66" s="42">
        <f t="shared" si="58"/>
        <v>0</v>
      </c>
      <c r="BO66" s="42">
        <f t="shared" si="58"/>
        <v>0</v>
      </c>
      <c r="BP66" s="42">
        <f t="shared" si="58"/>
        <v>0</v>
      </c>
      <c r="BQ66" s="42">
        <f t="shared" si="58"/>
        <v>0</v>
      </c>
      <c r="BR66" s="42">
        <f t="shared" si="58"/>
        <v>0</v>
      </c>
      <c r="BS66" s="42">
        <f t="shared" si="58"/>
        <v>0</v>
      </c>
      <c r="BT66" s="42">
        <f t="shared" si="58"/>
        <v>0</v>
      </c>
      <c r="BU66" s="42">
        <f t="shared" si="58"/>
        <v>0</v>
      </c>
      <c r="BV66" s="42">
        <f t="shared" si="58"/>
        <v>0</v>
      </c>
      <c r="BW66" s="42">
        <f t="shared" si="58"/>
        <v>0</v>
      </c>
      <c r="BX66" s="42">
        <f t="shared" si="58"/>
        <v>5500000</v>
      </c>
      <c r="BY66" s="42">
        <f t="shared" si="56"/>
        <v>0</v>
      </c>
      <c r="BZ66" s="42">
        <f t="shared" si="48"/>
        <v>0</v>
      </c>
      <c r="CA66" s="42"/>
      <c r="CB66" s="42">
        <f t="shared" si="49"/>
        <v>0</v>
      </c>
      <c r="CC66" s="43">
        <f t="shared" si="8"/>
        <v>0.41162349999999998</v>
      </c>
      <c r="CD66" s="42">
        <f t="shared" si="50"/>
        <v>4116235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>
        <f>+'[3]NOVIEMBRE 2019'!$H$3017</f>
        <v>4116235</v>
      </c>
      <c r="CX66" s="42"/>
      <c r="CY66" s="42"/>
      <c r="CZ66" s="42"/>
      <c r="DA66" s="42"/>
      <c r="DB66" s="43">
        <f t="shared" si="10"/>
        <v>0.58837650000000008</v>
      </c>
      <c r="DC66" s="42">
        <f t="shared" si="51"/>
        <v>5883765</v>
      </c>
      <c r="DD66" s="42">
        <f t="shared" si="59"/>
        <v>0</v>
      </c>
      <c r="DE66" s="42">
        <f t="shared" si="59"/>
        <v>0</v>
      </c>
      <c r="DF66" s="42">
        <f t="shared" si="59"/>
        <v>0</v>
      </c>
      <c r="DG66" s="42">
        <f t="shared" si="59"/>
        <v>0</v>
      </c>
      <c r="DH66" s="42">
        <f t="shared" si="59"/>
        <v>0</v>
      </c>
      <c r="DI66" s="42">
        <f t="shared" si="59"/>
        <v>0</v>
      </c>
      <c r="DJ66" s="42">
        <f t="shared" si="59"/>
        <v>0</v>
      </c>
      <c r="DK66" s="42">
        <f t="shared" si="59"/>
        <v>0</v>
      </c>
      <c r="DL66" s="42">
        <f t="shared" si="59"/>
        <v>0</v>
      </c>
      <c r="DM66" s="42">
        <f t="shared" si="59"/>
        <v>0</v>
      </c>
      <c r="DN66" s="42">
        <f t="shared" si="59"/>
        <v>0</v>
      </c>
      <c r="DO66" s="42">
        <f t="shared" si="59"/>
        <v>0</v>
      </c>
      <c r="DP66" s="42">
        <f t="shared" si="59"/>
        <v>0</v>
      </c>
      <c r="DQ66" s="42">
        <f t="shared" si="59"/>
        <v>0</v>
      </c>
      <c r="DR66" s="42">
        <f t="shared" si="59"/>
        <v>0</v>
      </c>
      <c r="DS66" s="42">
        <f t="shared" si="57"/>
        <v>0</v>
      </c>
      <c r="DT66" s="42">
        <f t="shared" si="53"/>
        <v>0</v>
      </c>
      <c r="DU66" s="42">
        <f t="shared" si="53"/>
        <v>0</v>
      </c>
      <c r="DV66" s="42">
        <f t="shared" si="53"/>
        <v>5883765</v>
      </c>
      <c r="DW66" s="42">
        <f t="shared" si="53"/>
        <v>0</v>
      </c>
      <c r="DX66" s="42">
        <f t="shared" si="53"/>
        <v>0</v>
      </c>
      <c r="DY66" s="42"/>
      <c r="DZ66" s="42">
        <f t="shared" si="54"/>
        <v>0</v>
      </c>
      <c r="EB66" s="47">
        <f t="shared" si="15"/>
        <v>10000000</v>
      </c>
      <c r="EC66" s="47">
        <f t="shared" si="16"/>
        <v>10000000</v>
      </c>
      <c r="ED66" s="47">
        <f t="shared" si="17"/>
        <v>10000000</v>
      </c>
      <c r="EJ66" s="74">
        <f t="shared" si="55"/>
        <v>4116235</v>
      </c>
      <c r="EK66" s="241"/>
    </row>
    <row r="67" spans="1:141" ht="29.4" hidden="1" customHeight="1" x14ac:dyDescent="0.3">
      <c r="A67" s="82"/>
      <c r="B67" s="85"/>
      <c r="C67" s="38" t="s">
        <v>200</v>
      </c>
      <c r="D67" s="50" t="s">
        <v>201</v>
      </c>
      <c r="E67" s="40">
        <v>410</v>
      </c>
      <c r="F67" s="41" t="s">
        <v>139</v>
      </c>
      <c r="G67" s="42">
        <f t="shared" si="42"/>
        <v>237881602</v>
      </c>
      <c r="H67" s="42"/>
      <c r="I67" s="42"/>
      <c r="J67" s="42"/>
      <c r="K67" s="42"/>
      <c r="L67" s="42"/>
      <c r="M67" s="42"/>
      <c r="N67" s="42"/>
      <c r="O67" s="42">
        <v>100000000</v>
      </c>
      <c r="P67" s="42">
        <f>45960534</f>
        <v>45960534</v>
      </c>
      <c r="Q67" s="42">
        <f>45960534</f>
        <v>45960534</v>
      </c>
      <c r="R67" s="42">
        <f>45960534</f>
        <v>45960534</v>
      </c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3">
        <f t="shared" si="32"/>
        <v>0.47514817055923475</v>
      </c>
      <c r="AF67" s="42">
        <f t="shared" si="43"/>
        <v>113029008</v>
      </c>
      <c r="AG67" s="42"/>
      <c r="AH67" s="42"/>
      <c r="AI67" s="42"/>
      <c r="AJ67" s="42"/>
      <c r="AK67" s="42"/>
      <c r="AL67" s="42"/>
      <c r="AM67" s="42"/>
      <c r="AN67" s="42">
        <f>+'[3]NOVIEMBRE 2019'!$Q$3025</f>
        <v>84845306</v>
      </c>
      <c r="AO67" s="42">
        <f>+'[3]NOVIEMBRE 2019'!$R$3025</f>
        <v>3200000</v>
      </c>
      <c r="AP67" s="42">
        <f>+'[3]NOVIEMBRE 2019'!$S$3025</f>
        <v>22983702</v>
      </c>
      <c r="AQ67" s="42">
        <f>+'[3]NOVIEMBRE 2019'!$T$3025</f>
        <v>2000000</v>
      </c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3">
        <f t="shared" si="3"/>
        <v>0.52485182944076525</v>
      </c>
      <c r="BE67" s="42">
        <f t="shared" si="44"/>
        <v>124852594</v>
      </c>
      <c r="BF67" s="42">
        <f t="shared" si="45"/>
        <v>0</v>
      </c>
      <c r="BG67" s="42">
        <f t="shared" si="45"/>
        <v>0</v>
      </c>
      <c r="BH67" s="42">
        <f t="shared" si="45"/>
        <v>0</v>
      </c>
      <c r="BI67" s="42">
        <f t="shared" si="46"/>
        <v>0</v>
      </c>
      <c r="BJ67" s="42">
        <f t="shared" si="58"/>
        <v>0</v>
      </c>
      <c r="BK67" s="42">
        <f t="shared" si="58"/>
        <v>0</v>
      </c>
      <c r="BL67" s="42">
        <f t="shared" si="58"/>
        <v>0</v>
      </c>
      <c r="BM67" s="42">
        <f t="shared" si="58"/>
        <v>15154694</v>
      </c>
      <c r="BN67" s="42">
        <f t="shared" si="58"/>
        <v>42760534</v>
      </c>
      <c r="BO67" s="42">
        <f t="shared" si="58"/>
        <v>22976832</v>
      </c>
      <c r="BP67" s="42">
        <f t="shared" si="58"/>
        <v>43960534</v>
      </c>
      <c r="BQ67" s="42">
        <f t="shared" si="58"/>
        <v>0</v>
      </c>
      <c r="BR67" s="42">
        <f t="shared" si="58"/>
        <v>0</v>
      </c>
      <c r="BS67" s="42">
        <f t="shared" si="58"/>
        <v>0</v>
      </c>
      <c r="BT67" s="42">
        <f t="shared" si="58"/>
        <v>0</v>
      </c>
      <c r="BU67" s="42">
        <f t="shared" si="58"/>
        <v>0</v>
      </c>
      <c r="BV67" s="42">
        <f t="shared" si="58"/>
        <v>0</v>
      </c>
      <c r="BW67" s="42">
        <f t="shared" si="58"/>
        <v>0</v>
      </c>
      <c r="BX67" s="42">
        <f t="shared" si="58"/>
        <v>0</v>
      </c>
      <c r="BY67" s="42">
        <f t="shared" si="56"/>
        <v>0</v>
      </c>
      <c r="BZ67" s="42">
        <f t="shared" si="48"/>
        <v>0</v>
      </c>
      <c r="CA67" s="42"/>
      <c r="CB67" s="42">
        <f t="shared" si="49"/>
        <v>0</v>
      </c>
      <c r="CC67" s="43">
        <f t="shared" si="8"/>
        <v>0.42946879515297698</v>
      </c>
      <c r="CD67" s="42">
        <f t="shared" si="50"/>
        <v>102162725</v>
      </c>
      <c r="CE67" s="42"/>
      <c r="CF67" s="42"/>
      <c r="CG67" s="42"/>
      <c r="CH67" s="42"/>
      <c r="CI67" s="42"/>
      <c r="CJ67" s="42"/>
      <c r="CK67" s="42"/>
      <c r="CL67" s="42">
        <f>+'[3]NOVIEMBRE 2019'!$H$3026+'[3]NOVIEMBRE 2019'!$H$3028+'[3]NOVIEMBRE 2019'!$H$3029+'[3]NOVIEMBRE 2019'!$H$3031+'[3]NOVIEMBRE 2019'!$H$3033+'[3]NOVIEMBRE 2019'!$H$3035+'[3]NOVIEMBRE 2019'!$H$3037+'[3]NOVIEMBRE 2019'!$H$3038+'[3]NOVIEMBRE 2019'!$H$3039+'[3]NOVIEMBRE 2019'!$H$3040+'[3]NOVIEMBRE 2019'!$H$3041+'[3]NOVIEMBRE 2019'!$H$3042+'[3]NOVIEMBRE 2019'!$H$3048+'[3]NOVIEMBRE 2019'!$H$3050+'[3]NOVIEMBRE 2019'!$H$3051+'[3]NOVIEMBRE 2019'!$H$3052+'[3]NOVIEMBRE 2019'!$H$3053+'[3]NOVIEMBRE 2019'!$H$3056+'[3]NOVIEMBRE 2019'!$H$3059+'[3]NOVIEMBRE 2019'!$H$3062+'[3]NOVIEMBRE 2019'!$H$3065+'[3]NOVIEMBRE 2019'!$H$3068+'[3]NOVIEMBRE 2019'!$H$3069+'[3]NOVIEMBRE 2019'!$H$3070+'[3]NOVIEMBRE 2019'!$H$3071+'[3]NOVIEMBRE 2019'!$H$3072+'[3]NOVIEMBRE 2019'!$H$3073+'[3]NOVIEMBRE 2019'!$H$3074+'[3]NOVIEMBRE 2019'!$H$3077+'[3]NOVIEMBRE 2019'!$H$3079+'[3]NOVIEMBRE 2019'!$H$3081+'[3]NOVIEMBRE 2019'!$H$3085+'[3]NOVIEMBRE 2019'!$H$3086+'[3]NOVIEMBRE 2019'!$H$3087+'[3]NOVIEMBRE 2019'!$H$3089+'[3]NOVIEMBRE 2019'!$H$3090+'[3]NOVIEMBRE 2019'!$H$3093+'[3]NOVIEMBRE 2019'!$H$3095</f>
        <v>75979023</v>
      </c>
      <c r="CM67" s="42">
        <f>+'[3]NOVIEMBRE 2019'!$H$3096</f>
        <v>3200000</v>
      </c>
      <c r="CN67" s="42">
        <f>+'[3]NOVIEMBRE 2019'!$H$3088+'[3]NOVIEMBRE 2019'!$H$3100+'[3]NOVIEMBRE 2019'!$H$3101+'[3]NOVIEMBRE 2019'!$H$3103</f>
        <v>22983702</v>
      </c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3">
        <f t="shared" si="10"/>
        <v>0.57053120484702302</v>
      </c>
      <c r="DC67" s="42">
        <f t="shared" si="51"/>
        <v>135718877</v>
      </c>
      <c r="DD67" s="42">
        <f t="shared" si="59"/>
        <v>0</v>
      </c>
      <c r="DE67" s="42">
        <f t="shared" si="59"/>
        <v>0</v>
      </c>
      <c r="DF67" s="42">
        <f t="shared" si="59"/>
        <v>0</v>
      </c>
      <c r="DG67" s="42">
        <f t="shared" si="59"/>
        <v>0</v>
      </c>
      <c r="DH67" s="42">
        <f t="shared" si="59"/>
        <v>0</v>
      </c>
      <c r="DI67" s="42">
        <f t="shared" si="59"/>
        <v>0</v>
      </c>
      <c r="DJ67" s="42">
        <f t="shared" si="59"/>
        <v>0</v>
      </c>
      <c r="DK67" s="42">
        <f t="shared" si="59"/>
        <v>24020977</v>
      </c>
      <c r="DL67" s="42">
        <f t="shared" si="59"/>
        <v>42760534</v>
      </c>
      <c r="DM67" s="42">
        <f t="shared" si="59"/>
        <v>22976832</v>
      </c>
      <c r="DN67" s="42">
        <f t="shared" si="59"/>
        <v>45960534</v>
      </c>
      <c r="DO67" s="42">
        <f t="shared" si="59"/>
        <v>0</v>
      </c>
      <c r="DP67" s="42">
        <f t="shared" si="59"/>
        <v>0</v>
      </c>
      <c r="DQ67" s="42">
        <f t="shared" si="59"/>
        <v>0</v>
      </c>
      <c r="DR67" s="42">
        <f t="shared" si="59"/>
        <v>0</v>
      </c>
      <c r="DS67" s="42">
        <f t="shared" si="57"/>
        <v>0</v>
      </c>
      <c r="DT67" s="42">
        <f t="shared" si="53"/>
        <v>0</v>
      </c>
      <c r="DU67" s="42">
        <f t="shared" si="53"/>
        <v>0</v>
      </c>
      <c r="DV67" s="42">
        <f t="shared" si="53"/>
        <v>0</v>
      </c>
      <c r="DW67" s="42">
        <f t="shared" si="53"/>
        <v>0</v>
      </c>
      <c r="DX67" s="42">
        <f t="shared" si="53"/>
        <v>0</v>
      </c>
      <c r="DY67" s="42"/>
      <c r="DZ67" s="42">
        <f t="shared" si="54"/>
        <v>0</v>
      </c>
      <c r="EB67" s="47">
        <f t="shared" si="15"/>
        <v>237881602</v>
      </c>
      <c r="EC67" s="47">
        <f t="shared" si="16"/>
        <v>237881602</v>
      </c>
      <c r="ED67" s="47">
        <f t="shared" si="17"/>
        <v>237881602</v>
      </c>
      <c r="EJ67" s="74">
        <f t="shared" si="55"/>
        <v>102162725</v>
      </c>
      <c r="EK67" s="241"/>
    </row>
    <row r="68" spans="1:141" ht="39.6" hidden="1" customHeight="1" x14ac:dyDescent="0.3">
      <c r="A68" s="82"/>
      <c r="B68" s="85"/>
      <c r="C68" s="78" t="s">
        <v>202</v>
      </c>
      <c r="D68" s="50" t="s">
        <v>203</v>
      </c>
      <c r="E68" s="79">
        <v>410</v>
      </c>
      <c r="F68" s="41" t="s">
        <v>139</v>
      </c>
      <c r="G68" s="42">
        <f t="shared" si="42"/>
        <v>0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3" t="e">
        <f t="shared" si="32"/>
        <v>#DIV/0!</v>
      </c>
      <c r="AF68" s="42">
        <f t="shared" si="43"/>
        <v>0</v>
      </c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3" t="e">
        <f t="shared" si="3"/>
        <v>#DIV/0!</v>
      </c>
      <c r="BE68" s="42">
        <f t="shared" si="44"/>
        <v>0</v>
      </c>
      <c r="BF68" s="42">
        <f t="shared" si="45"/>
        <v>0</v>
      </c>
      <c r="BG68" s="42">
        <f t="shared" si="45"/>
        <v>0</v>
      </c>
      <c r="BH68" s="42">
        <f t="shared" si="45"/>
        <v>0</v>
      </c>
      <c r="BI68" s="42">
        <f t="shared" si="46"/>
        <v>0</v>
      </c>
      <c r="BJ68" s="42">
        <f t="shared" si="58"/>
        <v>0</v>
      </c>
      <c r="BK68" s="42">
        <f t="shared" si="58"/>
        <v>0</v>
      </c>
      <c r="BL68" s="42">
        <f t="shared" si="58"/>
        <v>0</v>
      </c>
      <c r="BM68" s="42">
        <f t="shared" si="58"/>
        <v>0</v>
      </c>
      <c r="BN68" s="42">
        <f t="shared" si="58"/>
        <v>0</v>
      </c>
      <c r="BO68" s="42">
        <f t="shared" si="58"/>
        <v>0</v>
      </c>
      <c r="BP68" s="42">
        <f t="shared" si="58"/>
        <v>0</v>
      </c>
      <c r="BQ68" s="42">
        <f t="shared" si="58"/>
        <v>0</v>
      </c>
      <c r="BR68" s="42">
        <f t="shared" si="58"/>
        <v>0</v>
      </c>
      <c r="BS68" s="42">
        <f t="shared" si="58"/>
        <v>0</v>
      </c>
      <c r="BT68" s="42">
        <f t="shared" si="58"/>
        <v>0</v>
      </c>
      <c r="BU68" s="42">
        <f t="shared" si="58"/>
        <v>0</v>
      </c>
      <c r="BV68" s="42">
        <f t="shared" si="58"/>
        <v>0</v>
      </c>
      <c r="BW68" s="42">
        <f t="shared" si="58"/>
        <v>0</v>
      </c>
      <c r="BX68" s="42">
        <f t="shared" si="58"/>
        <v>0</v>
      </c>
      <c r="BY68" s="42">
        <f t="shared" si="56"/>
        <v>0</v>
      </c>
      <c r="BZ68" s="42">
        <f t="shared" si="48"/>
        <v>0</v>
      </c>
      <c r="CA68" s="42"/>
      <c r="CB68" s="42">
        <f t="shared" si="49"/>
        <v>0</v>
      </c>
      <c r="CC68" s="43" t="e">
        <f t="shared" si="8"/>
        <v>#DIV/0!</v>
      </c>
      <c r="CD68" s="42">
        <f t="shared" si="50"/>
        <v>0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3" t="e">
        <f t="shared" si="10"/>
        <v>#DIV/0!</v>
      </c>
      <c r="DC68" s="42">
        <f t="shared" si="51"/>
        <v>0</v>
      </c>
      <c r="DD68" s="42">
        <f t="shared" si="59"/>
        <v>0</v>
      </c>
      <c r="DE68" s="42">
        <f t="shared" si="59"/>
        <v>0</v>
      </c>
      <c r="DF68" s="42">
        <f t="shared" si="59"/>
        <v>0</v>
      </c>
      <c r="DG68" s="42">
        <f t="shared" si="59"/>
        <v>0</v>
      </c>
      <c r="DH68" s="42">
        <f t="shared" si="59"/>
        <v>0</v>
      </c>
      <c r="DI68" s="42">
        <f t="shared" si="59"/>
        <v>0</v>
      </c>
      <c r="DJ68" s="42">
        <f t="shared" si="59"/>
        <v>0</v>
      </c>
      <c r="DK68" s="42">
        <f t="shared" si="59"/>
        <v>0</v>
      </c>
      <c r="DL68" s="42">
        <f t="shared" si="59"/>
        <v>0</v>
      </c>
      <c r="DM68" s="42">
        <f t="shared" si="59"/>
        <v>0</v>
      </c>
      <c r="DN68" s="42">
        <f t="shared" si="59"/>
        <v>0</v>
      </c>
      <c r="DO68" s="42">
        <f t="shared" si="59"/>
        <v>0</v>
      </c>
      <c r="DP68" s="42">
        <f t="shared" si="59"/>
        <v>0</v>
      </c>
      <c r="DQ68" s="42">
        <f t="shared" si="59"/>
        <v>0</v>
      </c>
      <c r="DR68" s="42">
        <f t="shared" si="59"/>
        <v>0</v>
      </c>
      <c r="DS68" s="42">
        <f t="shared" si="57"/>
        <v>0</v>
      </c>
      <c r="DT68" s="42">
        <f t="shared" si="53"/>
        <v>0</v>
      </c>
      <c r="DU68" s="42">
        <f t="shared" si="53"/>
        <v>0</v>
      </c>
      <c r="DV68" s="42">
        <f t="shared" si="53"/>
        <v>0</v>
      </c>
      <c r="DW68" s="42">
        <f t="shared" si="53"/>
        <v>0</v>
      </c>
      <c r="DX68" s="42">
        <f t="shared" si="53"/>
        <v>0</v>
      </c>
      <c r="DY68" s="42"/>
      <c r="DZ68" s="42">
        <f t="shared" si="54"/>
        <v>0</v>
      </c>
      <c r="EB68" s="47">
        <f t="shared" si="15"/>
        <v>0</v>
      </c>
      <c r="EC68" s="47">
        <f t="shared" si="16"/>
        <v>0</v>
      </c>
      <c r="ED68" s="47">
        <f t="shared" si="17"/>
        <v>0</v>
      </c>
      <c r="EJ68" s="74">
        <f t="shared" si="55"/>
        <v>0</v>
      </c>
      <c r="EK68" s="241"/>
    </row>
    <row r="69" spans="1:141" ht="20.399999999999999" hidden="1" customHeight="1" x14ac:dyDescent="0.3">
      <c r="A69" s="82"/>
      <c r="B69" s="85"/>
      <c r="C69" s="38" t="s">
        <v>204</v>
      </c>
      <c r="D69" s="50" t="s">
        <v>205</v>
      </c>
      <c r="E69" s="40">
        <v>410</v>
      </c>
      <c r="F69" s="41" t="s">
        <v>139</v>
      </c>
      <c r="G69" s="42">
        <f t="shared" si="42"/>
        <v>0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3" t="e">
        <f t="shared" si="32"/>
        <v>#DIV/0!</v>
      </c>
      <c r="AF69" s="42">
        <f t="shared" si="43"/>
        <v>0</v>
      </c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3" t="e">
        <f t="shared" ref="BD69:BD132" si="60">1-AE69</f>
        <v>#DIV/0!</v>
      </c>
      <c r="BE69" s="42">
        <f t="shared" si="44"/>
        <v>0</v>
      </c>
      <c r="BF69" s="42">
        <f t="shared" si="45"/>
        <v>0</v>
      </c>
      <c r="BG69" s="42">
        <f t="shared" si="45"/>
        <v>0</v>
      </c>
      <c r="BH69" s="42">
        <f t="shared" si="45"/>
        <v>0</v>
      </c>
      <c r="BI69" s="42">
        <f t="shared" si="46"/>
        <v>0</v>
      </c>
      <c r="BJ69" s="42">
        <f t="shared" si="58"/>
        <v>0</v>
      </c>
      <c r="BK69" s="42">
        <f t="shared" si="58"/>
        <v>0</v>
      </c>
      <c r="BL69" s="42">
        <f t="shared" si="58"/>
        <v>0</v>
      </c>
      <c r="BM69" s="42">
        <f t="shared" si="58"/>
        <v>0</v>
      </c>
      <c r="BN69" s="42">
        <f t="shared" si="58"/>
        <v>0</v>
      </c>
      <c r="BO69" s="42">
        <f t="shared" si="58"/>
        <v>0</v>
      </c>
      <c r="BP69" s="42">
        <f t="shared" si="58"/>
        <v>0</v>
      </c>
      <c r="BQ69" s="42">
        <f t="shared" si="58"/>
        <v>0</v>
      </c>
      <c r="BR69" s="42">
        <f t="shared" si="58"/>
        <v>0</v>
      </c>
      <c r="BS69" s="42">
        <f t="shared" si="58"/>
        <v>0</v>
      </c>
      <c r="BT69" s="42">
        <f t="shared" si="58"/>
        <v>0</v>
      </c>
      <c r="BU69" s="42">
        <f t="shared" si="58"/>
        <v>0</v>
      </c>
      <c r="BV69" s="42">
        <f t="shared" si="58"/>
        <v>0</v>
      </c>
      <c r="BW69" s="42">
        <f t="shared" si="58"/>
        <v>0</v>
      </c>
      <c r="BX69" s="42">
        <f t="shared" si="58"/>
        <v>0</v>
      </c>
      <c r="BY69" s="42">
        <f t="shared" si="56"/>
        <v>0</v>
      </c>
      <c r="BZ69" s="42">
        <f t="shared" si="48"/>
        <v>0</v>
      </c>
      <c r="CA69" s="42"/>
      <c r="CB69" s="42">
        <f t="shared" si="49"/>
        <v>0</v>
      </c>
      <c r="CC69" s="43" t="e">
        <f t="shared" ref="CC69:CC108" si="61">+CD69/G69</f>
        <v>#DIV/0!</v>
      </c>
      <c r="CD69" s="42">
        <f t="shared" si="50"/>
        <v>0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3" t="e">
        <f t="shared" ref="DB69:DB132" si="62">1-CC69</f>
        <v>#DIV/0!</v>
      </c>
      <c r="DC69" s="42">
        <f t="shared" si="51"/>
        <v>0</v>
      </c>
      <c r="DD69" s="42">
        <f t="shared" si="59"/>
        <v>0</v>
      </c>
      <c r="DE69" s="42">
        <f t="shared" si="59"/>
        <v>0</v>
      </c>
      <c r="DF69" s="42">
        <f t="shared" si="59"/>
        <v>0</v>
      </c>
      <c r="DG69" s="42">
        <f t="shared" si="59"/>
        <v>0</v>
      </c>
      <c r="DH69" s="42">
        <f t="shared" si="59"/>
        <v>0</v>
      </c>
      <c r="DI69" s="42">
        <f t="shared" si="59"/>
        <v>0</v>
      </c>
      <c r="DJ69" s="42">
        <f t="shared" si="59"/>
        <v>0</v>
      </c>
      <c r="DK69" s="42">
        <f t="shared" si="59"/>
        <v>0</v>
      </c>
      <c r="DL69" s="42">
        <f t="shared" si="59"/>
        <v>0</v>
      </c>
      <c r="DM69" s="42">
        <f t="shared" si="59"/>
        <v>0</v>
      </c>
      <c r="DN69" s="42">
        <f t="shared" si="59"/>
        <v>0</v>
      </c>
      <c r="DO69" s="42">
        <f t="shared" si="59"/>
        <v>0</v>
      </c>
      <c r="DP69" s="42">
        <f t="shared" si="59"/>
        <v>0</v>
      </c>
      <c r="DQ69" s="42">
        <f t="shared" si="59"/>
        <v>0</v>
      </c>
      <c r="DR69" s="42">
        <f t="shared" si="59"/>
        <v>0</v>
      </c>
      <c r="DS69" s="42">
        <f t="shared" si="57"/>
        <v>0</v>
      </c>
      <c r="DT69" s="42">
        <f t="shared" si="53"/>
        <v>0</v>
      </c>
      <c r="DU69" s="42">
        <f t="shared" si="53"/>
        <v>0</v>
      </c>
      <c r="DV69" s="42">
        <f t="shared" si="53"/>
        <v>0</v>
      </c>
      <c r="DW69" s="42">
        <f t="shared" si="53"/>
        <v>0</v>
      </c>
      <c r="DX69" s="42">
        <f t="shared" si="53"/>
        <v>0</v>
      </c>
      <c r="DY69" s="42"/>
      <c r="DZ69" s="42">
        <f t="shared" si="54"/>
        <v>0</v>
      </c>
      <c r="EB69" s="47">
        <f t="shared" ref="EB69:EB132" si="63">+G69</f>
        <v>0</v>
      </c>
      <c r="EC69" s="47">
        <f t="shared" ref="EC69:EC132" si="64">+AF69+BE69</f>
        <v>0</v>
      </c>
      <c r="ED69" s="47">
        <f t="shared" ref="ED69:ED132" si="65">+CD69+DC69</f>
        <v>0</v>
      </c>
      <c r="EJ69" s="74">
        <f t="shared" si="55"/>
        <v>0</v>
      </c>
      <c r="EK69" s="241"/>
    </row>
    <row r="70" spans="1:141" ht="28.2" hidden="1" customHeight="1" x14ac:dyDescent="0.3">
      <c r="A70" s="82"/>
      <c r="B70" s="85"/>
      <c r="C70" s="38" t="s">
        <v>206</v>
      </c>
      <c r="D70" s="50" t="s">
        <v>207</v>
      </c>
      <c r="E70" s="40">
        <v>410</v>
      </c>
      <c r="F70" s="41" t="s">
        <v>139</v>
      </c>
      <c r="G70" s="42">
        <f t="shared" si="42"/>
        <v>2120000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>
        <v>2120000</v>
      </c>
      <c r="AA70" s="42"/>
      <c r="AB70" s="42"/>
      <c r="AC70" s="42"/>
      <c r="AD70" s="42"/>
      <c r="AE70" s="43">
        <f t="shared" si="32"/>
        <v>0.12570754716981133</v>
      </c>
      <c r="AF70" s="42">
        <f t="shared" si="43"/>
        <v>266500</v>
      </c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>
        <f>+'[2]SEPTIEMBRE 2019'!$AB$2447</f>
        <v>266500</v>
      </c>
      <c r="AZ70" s="42"/>
      <c r="BA70" s="42"/>
      <c r="BB70" s="42"/>
      <c r="BC70" s="42"/>
      <c r="BD70" s="43">
        <f t="shared" si="60"/>
        <v>0.87429245283018864</v>
      </c>
      <c r="BE70" s="42">
        <f t="shared" si="44"/>
        <v>1853500</v>
      </c>
      <c r="BF70" s="42">
        <f t="shared" si="45"/>
        <v>0</v>
      </c>
      <c r="BG70" s="42">
        <f t="shared" si="45"/>
        <v>0</v>
      </c>
      <c r="BH70" s="42">
        <f t="shared" si="45"/>
        <v>0</v>
      </c>
      <c r="BI70" s="42">
        <f t="shared" si="46"/>
        <v>0</v>
      </c>
      <c r="BJ70" s="42">
        <f t="shared" si="58"/>
        <v>0</v>
      </c>
      <c r="BK70" s="42">
        <f t="shared" si="58"/>
        <v>0</v>
      </c>
      <c r="BL70" s="42">
        <f t="shared" si="58"/>
        <v>0</v>
      </c>
      <c r="BM70" s="42">
        <f t="shared" si="58"/>
        <v>0</v>
      </c>
      <c r="BN70" s="42">
        <f t="shared" si="58"/>
        <v>0</v>
      </c>
      <c r="BO70" s="42">
        <f t="shared" si="58"/>
        <v>0</v>
      </c>
      <c r="BP70" s="42">
        <f t="shared" si="58"/>
        <v>0</v>
      </c>
      <c r="BQ70" s="42">
        <f t="shared" si="58"/>
        <v>0</v>
      </c>
      <c r="BR70" s="42">
        <f t="shared" si="58"/>
        <v>0</v>
      </c>
      <c r="BS70" s="42">
        <f t="shared" si="58"/>
        <v>0</v>
      </c>
      <c r="BT70" s="42">
        <f t="shared" si="58"/>
        <v>0</v>
      </c>
      <c r="BU70" s="42">
        <f t="shared" si="58"/>
        <v>0</v>
      </c>
      <c r="BV70" s="42">
        <f t="shared" si="58"/>
        <v>0</v>
      </c>
      <c r="BW70" s="42">
        <f t="shared" si="58"/>
        <v>0</v>
      </c>
      <c r="BX70" s="42">
        <f t="shared" si="58"/>
        <v>1853500</v>
      </c>
      <c r="BY70" s="42">
        <f t="shared" si="56"/>
        <v>0</v>
      </c>
      <c r="BZ70" s="42">
        <f t="shared" si="48"/>
        <v>0</v>
      </c>
      <c r="CA70" s="42"/>
      <c r="CB70" s="42">
        <f t="shared" si="49"/>
        <v>0</v>
      </c>
      <c r="CC70" s="43">
        <f t="shared" si="61"/>
        <v>0.12570754716981133</v>
      </c>
      <c r="CD70" s="42">
        <f t="shared" si="50"/>
        <v>266500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>
        <f>+'[2]SEPTIEMBRE 2019'!$H$2445</f>
        <v>266500</v>
      </c>
      <c r="CX70" s="42"/>
      <c r="CY70" s="42"/>
      <c r="CZ70" s="42"/>
      <c r="DA70" s="42"/>
      <c r="DB70" s="43">
        <f t="shared" si="62"/>
        <v>0.87429245283018864</v>
      </c>
      <c r="DC70" s="42">
        <f t="shared" si="51"/>
        <v>1853500</v>
      </c>
      <c r="DD70" s="42">
        <f t="shared" si="59"/>
        <v>0</v>
      </c>
      <c r="DE70" s="42">
        <f t="shared" si="59"/>
        <v>0</v>
      </c>
      <c r="DF70" s="42">
        <f t="shared" si="59"/>
        <v>0</v>
      </c>
      <c r="DG70" s="42">
        <f t="shared" si="59"/>
        <v>0</v>
      </c>
      <c r="DH70" s="42">
        <f t="shared" si="59"/>
        <v>0</v>
      </c>
      <c r="DI70" s="42">
        <f t="shared" si="59"/>
        <v>0</v>
      </c>
      <c r="DJ70" s="42">
        <f t="shared" si="59"/>
        <v>0</v>
      </c>
      <c r="DK70" s="42">
        <f t="shared" si="59"/>
        <v>0</v>
      </c>
      <c r="DL70" s="42">
        <f t="shared" si="59"/>
        <v>0</v>
      </c>
      <c r="DM70" s="42">
        <f t="shared" si="59"/>
        <v>0</v>
      </c>
      <c r="DN70" s="42">
        <f t="shared" si="59"/>
        <v>0</v>
      </c>
      <c r="DO70" s="42">
        <f t="shared" si="59"/>
        <v>0</v>
      </c>
      <c r="DP70" s="42">
        <f t="shared" si="59"/>
        <v>0</v>
      </c>
      <c r="DQ70" s="42">
        <f t="shared" si="59"/>
        <v>0</v>
      </c>
      <c r="DR70" s="42">
        <f t="shared" si="59"/>
        <v>0</v>
      </c>
      <c r="DS70" s="42">
        <f t="shared" si="57"/>
        <v>0</v>
      </c>
      <c r="DT70" s="42">
        <f t="shared" si="53"/>
        <v>0</v>
      </c>
      <c r="DU70" s="42">
        <f t="shared" si="53"/>
        <v>0</v>
      </c>
      <c r="DV70" s="42">
        <f t="shared" si="53"/>
        <v>1853500</v>
      </c>
      <c r="DW70" s="42">
        <f t="shared" si="53"/>
        <v>0</v>
      </c>
      <c r="DX70" s="42">
        <f t="shared" si="53"/>
        <v>0</v>
      </c>
      <c r="DY70" s="42"/>
      <c r="DZ70" s="42">
        <f t="shared" si="54"/>
        <v>0</v>
      </c>
      <c r="EB70" s="47">
        <f t="shared" si="63"/>
        <v>2120000</v>
      </c>
      <c r="EC70" s="47">
        <f t="shared" si="64"/>
        <v>2120000</v>
      </c>
      <c r="ED70" s="47">
        <f t="shared" si="65"/>
        <v>2120000</v>
      </c>
      <c r="EJ70" s="74">
        <f t="shared" si="55"/>
        <v>266500</v>
      </c>
      <c r="EK70" s="241"/>
    </row>
    <row r="71" spans="1:141" ht="28.8" hidden="1" customHeight="1" x14ac:dyDescent="0.3">
      <c r="A71" s="82"/>
      <c r="B71" s="85"/>
      <c r="C71" s="38" t="s">
        <v>208</v>
      </c>
      <c r="D71" s="50" t="s">
        <v>209</v>
      </c>
      <c r="E71" s="40">
        <v>410</v>
      </c>
      <c r="F71" s="41" t="s">
        <v>139</v>
      </c>
      <c r="G71" s="42">
        <f t="shared" si="42"/>
        <v>4000000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>
        <v>4000000</v>
      </c>
      <c r="AA71" s="42"/>
      <c r="AB71" s="42"/>
      <c r="AC71" s="42"/>
      <c r="AD71" s="42"/>
      <c r="AE71" s="43">
        <f t="shared" si="32"/>
        <v>0</v>
      </c>
      <c r="AF71" s="42">
        <f t="shared" si="43"/>
        <v>0</v>
      </c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3">
        <f t="shared" si="60"/>
        <v>1</v>
      </c>
      <c r="BE71" s="42">
        <f t="shared" si="44"/>
        <v>4000000</v>
      </c>
      <c r="BF71" s="42">
        <f t="shared" si="45"/>
        <v>0</v>
      </c>
      <c r="BG71" s="42">
        <f t="shared" si="45"/>
        <v>0</v>
      </c>
      <c r="BH71" s="42">
        <f t="shared" si="45"/>
        <v>0</v>
      </c>
      <c r="BI71" s="42">
        <f t="shared" si="46"/>
        <v>0</v>
      </c>
      <c r="BJ71" s="42">
        <f t="shared" si="58"/>
        <v>0</v>
      </c>
      <c r="BK71" s="42">
        <f t="shared" si="58"/>
        <v>0</v>
      </c>
      <c r="BL71" s="42">
        <f t="shared" si="58"/>
        <v>0</v>
      </c>
      <c r="BM71" s="42">
        <f t="shared" si="58"/>
        <v>0</v>
      </c>
      <c r="BN71" s="42">
        <f t="shared" si="58"/>
        <v>0</v>
      </c>
      <c r="BO71" s="42">
        <f t="shared" si="58"/>
        <v>0</v>
      </c>
      <c r="BP71" s="42">
        <f t="shared" si="58"/>
        <v>0</v>
      </c>
      <c r="BQ71" s="42">
        <f t="shared" si="58"/>
        <v>0</v>
      </c>
      <c r="BR71" s="42">
        <f t="shared" si="58"/>
        <v>0</v>
      </c>
      <c r="BS71" s="42">
        <f t="shared" si="58"/>
        <v>0</v>
      </c>
      <c r="BT71" s="42">
        <f t="shared" si="58"/>
        <v>0</v>
      </c>
      <c r="BU71" s="42">
        <f t="shared" si="58"/>
        <v>0</v>
      </c>
      <c r="BV71" s="42">
        <f t="shared" si="58"/>
        <v>0</v>
      </c>
      <c r="BW71" s="42">
        <f t="shared" si="58"/>
        <v>0</v>
      </c>
      <c r="BX71" s="42">
        <f t="shared" si="58"/>
        <v>4000000</v>
      </c>
      <c r="BY71" s="42">
        <f t="shared" si="56"/>
        <v>0</v>
      </c>
      <c r="BZ71" s="42">
        <f t="shared" si="48"/>
        <v>0</v>
      </c>
      <c r="CA71" s="42"/>
      <c r="CB71" s="42">
        <f t="shared" si="49"/>
        <v>0</v>
      </c>
      <c r="CC71" s="43">
        <f t="shared" si="61"/>
        <v>0</v>
      </c>
      <c r="CD71" s="42">
        <f t="shared" si="50"/>
        <v>0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3">
        <f t="shared" si="62"/>
        <v>1</v>
      </c>
      <c r="DC71" s="42">
        <f t="shared" si="51"/>
        <v>4000000</v>
      </c>
      <c r="DD71" s="42">
        <f t="shared" si="59"/>
        <v>0</v>
      </c>
      <c r="DE71" s="42">
        <f t="shared" si="59"/>
        <v>0</v>
      </c>
      <c r="DF71" s="42">
        <f t="shared" si="59"/>
        <v>0</v>
      </c>
      <c r="DG71" s="42">
        <f t="shared" si="59"/>
        <v>0</v>
      </c>
      <c r="DH71" s="42">
        <f t="shared" si="59"/>
        <v>0</v>
      </c>
      <c r="DI71" s="42">
        <f t="shared" si="59"/>
        <v>0</v>
      </c>
      <c r="DJ71" s="42">
        <f t="shared" si="59"/>
        <v>0</v>
      </c>
      <c r="DK71" s="42">
        <f t="shared" si="59"/>
        <v>0</v>
      </c>
      <c r="DL71" s="42">
        <f t="shared" si="59"/>
        <v>0</v>
      </c>
      <c r="DM71" s="42">
        <f t="shared" si="59"/>
        <v>0</v>
      </c>
      <c r="DN71" s="42">
        <f t="shared" si="59"/>
        <v>0</v>
      </c>
      <c r="DO71" s="42">
        <f t="shared" si="59"/>
        <v>0</v>
      </c>
      <c r="DP71" s="42">
        <f t="shared" si="59"/>
        <v>0</v>
      </c>
      <c r="DQ71" s="42">
        <f t="shared" si="59"/>
        <v>0</v>
      </c>
      <c r="DR71" s="42">
        <f t="shared" si="59"/>
        <v>0</v>
      </c>
      <c r="DS71" s="42">
        <f t="shared" si="57"/>
        <v>0</v>
      </c>
      <c r="DT71" s="42">
        <f t="shared" si="53"/>
        <v>0</v>
      </c>
      <c r="DU71" s="42">
        <f t="shared" si="53"/>
        <v>0</v>
      </c>
      <c r="DV71" s="42">
        <f t="shared" si="53"/>
        <v>4000000</v>
      </c>
      <c r="DW71" s="42">
        <f t="shared" si="53"/>
        <v>0</v>
      </c>
      <c r="DX71" s="42">
        <f t="shared" si="53"/>
        <v>0</v>
      </c>
      <c r="DY71" s="42"/>
      <c r="DZ71" s="42">
        <f t="shared" si="54"/>
        <v>0</v>
      </c>
      <c r="EB71" s="47">
        <f t="shared" si="63"/>
        <v>4000000</v>
      </c>
      <c r="EC71" s="47">
        <f t="shared" si="64"/>
        <v>4000000</v>
      </c>
      <c r="ED71" s="47">
        <f t="shared" si="65"/>
        <v>4000000</v>
      </c>
      <c r="EJ71" s="74">
        <f t="shared" si="55"/>
        <v>0</v>
      </c>
      <c r="EK71" s="241"/>
    </row>
    <row r="72" spans="1:141" ht="15" hidden="1" customHeight="1" x14ac:dyDescent="0.3">
      <c r="A72" s="82"/>
      <c r="B72" s="86"/>
      <c r="C72" s="38" t="s">
        <v>210</v>
      </c>
      <c r="D72" s="50" t="s">
        <v>211</v>
      </c>
      <c r="E72" s="40">
        <v>410</v>
      </c>
      <c r="F72" s="41" t="s">
        <v>139</v>
      </c>
      <c r="G72" s="42">
        <f t="shared" si="42"/>
        <v>152000000</v>
      </c>
      <c r="H72" s="42"/>
      <c r="I72" s="42"/>
      <c r="J72" s="42"/>
      <c r="K72" s="42"/>
      <c r="L72" s="42"/>
      <c r="M72" s="42"/>
      <c r="N72" s="42"/>
      <c r="O72" s="42">
        <f>80000000+42000000</f>
        <v>122000000</v>
      </c>
      <c r="P72" s="42"/>
      <c r="Q72" s="42"/>
      <c r="R72" s="42"/>
      <c r="S72" s="42">
        <f>30000000</f>
        <v>30000000</v>
      </c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3">
        <f t="shared" si="32"/>
        <v>0.62407023684210527</v>
      </c>
      <c r="AF72" s="42">
        <f t="shared" si="43"/>
        <v>94858676</v>
      </c>
      <c r="AG72" s="42"/>
      <c r="AH72" s="42"/>
      <c r="AI72" s="42"/>
      <c r="AJ72" s="42"/>
      <c r="AK72" s="42"/>
      <c r="AL72" s="42"/>
      <c r="AM72" s="42"/>
      <c r="AN72" s="42">
        <f>+'[3]NOVIEMBRE 2019'!$Q$3132</f>
        <v>94858676</v>
      </c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3">
        <f t="shared" si="60"/>
        <v>0.37592976315789473</v>
      </c>
      <c r="BE72" s="42">
        <f t="shared" si="44"/>
        <v>57141324</v>
      </c>
      <c r="BF72" s="42">
        <f t="shared" si="45"/>
        <v>0</v>
      </c>
      <c r="BG72" s="42">
        <f t="shared" si="45"/>
        <v>0</v>
      </c>
      <c r="BH72" s="42">
        <f t="shared" si="45"/>
        <v>0</v>
      </c>
      <c r="BI72" s="42">
        <f t="shared" si="46"/>
        <v>0</v>
      </c>
      <c r="BJ72" s="42">
        <f t="shared" si="58"/>
        <v>0</v>
      </c>
      <c r="BK72" s="42">
        <f t="shared" si="58"/>
        <v>0</v>
      </c>
      <c r="BL72" s="42">
        <f t="shared" si="58"/>
        <v>0</v>
      </c>
      <c r="BM72" s="42">
        <f t="shared" si="58"/>
        <v>27141324</v>
      </c>
      <c r="BN72" s="42">
        <f t="shared" si="58"/>
        <v>0</v>
      </c>
      <c r="BO72" s="42">
        <f t="shared" si="58"/>
        <v>0</v>
      </c>
      <c r="BP72" s="42">
        <f t="shared" si="58"/>
        <v>0</v>
      </c>
      <c r="BQ72" s="42">
        <f t="shared" si="58"/>
        <v>30000000</v>
      </c>
      <c r="BR72" s="42">
        <f t="shared" si="58"/>
        <v>0</v>
      </c>
      <c r="BS72" s="42">
        <f t="shared" si="58"/>
        <v>0</v>
      </c>
      <c r="BT72" s="42">
        <f t="shared" si="58"/>
        <v>0</v>
      </c>
      <c r="BU72" s="42">
        <f t="shared" si="58"/>
        <v>0</v>
      </c>
      <c r="BV72" s="42">
        <f t="shared" si="58"/>
        <v>0</v>
      </c>
      <c r="BW72" s="42">
        <f t="shared" si="58"/>
        <v>0</v>
      </c>
      <c r="BX72" s="42">
        <f t="shared" si="58"/>
        <v>0</v>
      </c>
      <c r="BY72" s="42">
        <f t="shared" si="56"/>
        <v>0</v>
      </c>
      <c r="BZ72" s="42">
        <f t="shared" si="48"/>
        <v>0</v>
      </c>
      <c r="CA72" s="42"/>
      <c r="CB72" s="42">
        <f t="shared" si="49"/>
        <v>0</v>
      </c>
      <c r="CC72" s="43">
        <f t="shared" si="61"/>
        <v>0.5525899671052632</v>
      </c>
      <c r="CD72" s="42">
        <f t="shared" si="50"/>
        <v>83993675</v>
      </c>
      <c r="CE72" s="42"/>
      <c r="CF72" s="42"/>
      <c r="CG72" s="42"/>
      <c r="CH72" s="42"/>
      <c r="CI72" s="42"/>
      <c r="CJ72" s="42"/>
      <c r="CK72" s="42"/>
      <c r="CL72" s="42">
        <f>+'[3]NOVIEMBRE 2019'!$H$3130</f>
        <v>83993675</v>
      </c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3">
        <f t="shared" si="62"/>
        <v>0.4474100328947368</v>
      </c>
      <c r="DC72" s="42">
        <f t="shared" si="51"/>
        <v>68006325</v>
      </c>
      <c r="DD72" s="42">
        <f t="shared" si="59"/>
        <v>0</v>
      </c>
      <c r="DE72" s="42">
        <f t="shared" si="59"/>
        <v>0</v>
      </c>
      <c r="DF72" s="42">
        <f t="shared" si="59"/>
        <v>0</v>
      </c>
      <c r="DG72" s="42">
        <f t="shared" si="59"/>
        <v>0</v>
      </c>
      <c r="DH72" s="42">
        <f t="shared" si="59"/>
        <v>0</v>
      </c>
      <c r="DI72" s="42">
        <f t="shared" si="59"/>
        <v>0</v>
      </c>
      <c r="DJ72" s="42">
        <f t="shared" si="59"/>
        <v>0</v>
      </c>
      <c r="DK72" s="42">
        <f t="shared" si="59"/>
        <v>38006325</v>
      </c>
      <c r="DL72" s="42">
        <f t="shared" si="59"/>
        <v>0</v>
      </c>
      <c r="DM72" s="42">
        <f t="shared" si="59"/>
        <v>0</v>
      </c>
      <c r="DN72" s="42">
        <f t="shared" si="59"/>
        <v>0</v>
      </c>
      <c r="DO72" s="42">
        <f t="shared" si="59"/>
        <v>30000000</v>
      </c>
      <c r="DP72" s="42">
        <f t="shared" si="59"/>
        <v>0</v>
      </c>
      <c r="DQ72" s="42">
        <f t="shared" si="59"/>
        <v>0</v>
      </c>
      <c r="DR72" s="42">
        <f t="shared" si="59"/>
        <v>0</v>
      </c>
      <c r="DS72" s="42">
        <f t="shared" si="57"/>
        <v>0</v>
      </c>
      <c r="DT72" s="42">
        <f t="shared" si="53"/>
        <v>0</v>
      </c>
      <c r="DU72" s="42">
        <f t="shared" si="53"/>
        <v>0</v>
      </c>
      <c r="DV72" s="42">
        <f t="shared" si="53"/>
        <v>0</v>
      </c>
      <c r="DW72" s="42">
        <f t="shared" si="53"/>
        <v>0</v>
      </c>
      <c r="DX72" s="42">
        <f t="shared" si="53"/>
        <v>0</v>
      </c>
      <c r="DY72" s="42"/>
      <c r="DZ72" s="42">
        <f t="shared" si="54"/>
        <v>0</v>
      </c>
      <c r="EB72" s="47">
        <f t="shared" si="63"/>
        <v>152000000</v>
      </c>
      <c r="EC72" s="47">
        <f t="shared" si="64"/>
        <v>152000000</v>
      </c>
      <c r="ED72" s="47">
        <f t="shared" si="65"/>
        <v>152000000</v>
      </c>
      <c r="EJ72" s="74">
        <f t="shared" si="55"/>
        <v>83993675</v>
      </c>
      <c r="EK72" s="241"/>
    </row>
    <row r="73" spans="1:141" ht="42.6" hidden="1" customHeight="1" x14ac:dyDescent="0.3">
      <c r="A73" s="82"/>
      <c r="B73" s="87" t="s">
        <v>212</v>
      </c>
      <c r="C73" s="38" t="s">
        <v>213</v>
      </c>
      <c r="D73" s="39" t="s">
        <v>214</v>
      </c>
      <c r="E73" s="40">
        <v>410</v>
      </c>
      <c r="F73" s="41" t="s">
        <v>139</v>
      </c>
      <c r="G73" s="42">
        <f t="shared" si="42"/>
        <v>3757651561</v>
      </c>
      <c r="H73" s="42"/>
      <c r="I73" s="42"/>
      <c r="J73" s="42"/>
      <c r="K73" s="42"/>
      <c r="L73" s="42"/>
      <c r="M73" s="42"/>
      <c r="N73" s="42"/>
      <c r="O73" s="42">
        <f>100000000</f>
        <v>100000000</v>
      </c>
      <c r="P73" s="42"/>
      <c r="Q73" s="42"/>
      <c r="R73" s="42"/>
      <c r="S73" s="42"/>
      <c r="T73" s="42"/>
      <c r="U73" s="42"/>
      <c r="V73" s="42"/>
      <c r="W73" s="42">
        <f>3000000000+457651561</f>
        <v>3457651561</v>
      </c>
      <c r="X73" s="42"/>
      <c r="Y73" s="42"/>
      <c r="Z73" s="42">
        <v>200000000</v>
      </c>
      <c r="AA73" s="42"/>
      <c r="AB73" s="42"/>
      <c r="AC73" s="42"/>
      <c r="AD73" s="42"/>
      <c r="AE73" s="43">
        <f t="shared" si="32"/>
        <v>0.51570510212082965</v>
      </c>
      <c r="AF73" s="42">
        <f t="shared" si="43"/>
        <v>1937840082</v>
      </c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>
        <f>+'[4]JULIO 2019'!$X$1802</f>
        <v>1778728458</v>
      </c>
      <c r="AW73" s="42"/>
      <c r="AX73" s="42"/>
      <c r="AY73" s="42">
        <f>+'[8]AGOSTO 2019'!$AA$2083</f>
        <v>159111624</v>
      </c>
      <c r="AZ73" s="42"/>
      <c r="BA73" s="42"/>
      <c r="BB73" s="42"/>
      <c r="BC73" s="42"/>
      <c r="BD73" s="43">
        <f t="shared" si="60"/>
        <v>0.48429489787917035</v>
      </c>
      <c r="BE73" s="42">
        <f t="shared" si="44"/>
        <v>1819811479</v>
      </c>
      <c r="BF73" s="42">
        <f t="shared" si="45"/>
        <v>0</v>
      </c>
      <c r="BG73" s="42">
        <f t="shared" si="45"/>
        <v>0</v>
      </c>
      <c r="BH73" s="42">
        <f t="shared" si="45"/>
        <v>0</v>
      </c>
      <c r="BI73" s="42">
        <f t="shared" si="46"/>
        <v>0</v>
      </c>
      <c r="BJ73" s="42">
        <f t="shared" si="58"/>
        <v>0</v>
      </c>
      <c r="BK73" s="42">
        <f t="shared" si="58"/>
        <v>0</v>
      </c>
      <c r="BL73" s="42">
        <f t="shared" si="58"/>
        <v>0</v>
      </c>
      <c r="BM73" s="42">
        <f t="shared" si="58"/>
        <v>100000000</v>
      </c>
      <c r="BN73" s="42">
        <f t="shared" si="58"/>
        <v>0</v>
      </c>
      <c r="BO73" s="42">
        <f t="shared" si="58"/>
        <v>0</v>
      </c>
      <c r="BP73" s="42">
        <f t="shared" si="58"/>
        <v>0</v>
      </c>
      <c r="BQ73" s="42">
        <f t="shared" si="58"/>
        <v>0</v>
      </c>
      <c r="BR73" s="42">
        <f t="shared" si="58"/>
        <v>0</v>
      </c>
      <c r="BS73" s="42">
        <f t="shared" si="58"/>
        <v>0</v>
      </c>
      <c r="BT73" s="42">
        <f t="shared" si="58"/>
        <v>0</v>
      </c>
      <c r="BU73" s="42">
        <f t="shared" si="58"/>
        <v>1678923103</v>
      </c>
      <c r="BV73" s="42">
        <f t="shared" si="58"/>
        <v>0</v>
      </c>
      <c r="BW73" s="42">
        <f t="shared" si="58"/>
        <v>0</v>
      </c>
      <c r="BX73" s="42">
        <f t="shared" si="58"/>
        <v>40888376</v>
      </c>
      <c r="BY73" s="42">
        <f t="shared" si="56"/>
        <v>0</v>
      </c>
      <c r="BZ73" s="42">
        <f t="shared" si="48"/>
        <v>0</v>
      </c>
      <c r="CA73" s="42"/>
      <c r="CB73" s="42">
        <f t="shared" si="49"/>
        <v>0</v>
      </c>
      <c r="CC73" s="43">
        <f t="shared" si="61"/>
        <v>0.3009486943220066</v>
      </c>
      <c r="CD73" s="42">
        <f t="shared" si="50"/>
        <v>1130860331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>
        <f>'[3]NOVIEMBRE 2019'!$H$3158-CW73</f>
        <v>1078397268</v>
      </c>
      <c r="CU73" s="42"/>
      <c r="CV73" s="42"/>
      <c r="CW73" s="42">
        <f>+'[3]NOVIEMBRE 2019'!$H$3214+'[3]NOVIEMBRE 2019'!$H$3225+'[3]NOVIEMBRE 2019'!$H$3235+'[3]NOVIEMBRE 2019'!$H$3292+'[3]NOVIEMBRE 2019'!$H$3304</f>
        <v>52463063</v>
      </c>
      <c r="CX73" s="42"/>
      <c r="CY73" s="42"/>
      <c r="CZ73" s="42"/>
      <c r="DA73" s="42"/>
      <c r="DB73" s="43">
        <f t="shared" si="62"/>
        <v>0.69905130567799345</v>
      </c>
      <c r="DC73" s="42">
        <f t="shared" si="51"/>
        <v>2626791230</v>
      </c>
      <c r="DD73" s="42">
        <f t="shared" si="59"/>
        <v>0</v>
      </c>
      <c r="DE73" s="42">
        <f t="shared" si="59"/>
        <v>0</v>
      </c>
      <c r="DF73" s="42">
        <f t="shared" si="59"/>
        <v>0</v>
      </c>
      <c r="DG73" s="42">
        <f t="shared" si="59"/>
        <v>0</v>
      </c>
      <c r="DH73" s="42">
        <f t="shared" si="59"/>
        <v>0</v>
      </c>
      <c r="DI73" s="42">
        <f t="shared" si="59"/>
        <v>0</v>
      </c>
      <c r="DJ73" s="42">
        <f t="shared" si="59"/>
        <v>0</v>
      </c>
      <c r="DK73" s="42">
        <f t="shared" si="59"/>
        <v>100000000</v>
      </c>
      <c r="DL73" s="42">
        <f t="shared" si="59"/>
        <v>0</v>
      </c>
      <c r="DM73" s="42">
        <f t="shared" si="59"/>
        <v>0</v>
      </c>
      <c r="DN73" s="42">
        <f t="shared" si="59"/>
        <v>0</v>
      </c>
      <c r="DO73" s="42">
        <f t="shared" si="59"/>
        <v>0</v>
      </c>
      <c r="DP73" s="42">
        <f t="shared" si="59"/>
        <v>0</v>
      </c>
      <c r="DQ73" s="42">
        <f t="shared" si="59"/>
        <v>0</v>
      </c>
      <c r="DR73" s="42">
        <f t="shared" si="59"/>
        <v>0</v>
      </c>
      <c r="DS73" s="42">
        <f t="shared" si="57"/>
        <v>2379254293</v>
      </c>
      <c r="DT73" s="42">
        <f t="shared" si="53"/>
        <v>0</v>
      </c>
      <c r="DU73" s="42">
        <f t="shared" si="53"/>
        <v>0</v>
      </c>
      <c r="DV73" s="42">
        <f t="shared" si="53"/>
        <v>147536937</v>
      </c>
      <c r="DW73" s="42">
        <f t="shared" si="53"/>
        <v>0</v>
      </c>
      <c r="DX73" s="42">
        <f t="shared" si="53"/>
        <v>0</v>
      </c>
      <c r="DY73" s="42"/>
      <c r="DZ73" s="42">
        <f t="shared" si="54"/>
        <v>0</v>
      </c>
      <c r="EB73" s="47">
        <f t="shared" si="63"/>
        <v>3757651561</v>
      </c>
      <c r="EC73" s="47">
        <f t="shared" si="64"/>
        <v>3757651561</v>
      </c>
      <c r="ED73" s="47">
        <f t="shared" si="65"/>
        <v>3757651561</v>
      </c>
      <c r="EJ73" s="74">
        <f t="shared" si="55"/>
        <v>1130860331</v>
      </c>
      <c r="EK73" s="241"/>
    </row>
    <row r="74" spans="1:141" ht="43.2" hidden="1" customHeight="1" x14ac:dyDescent="0.3">
      <c r="A74" s="88"/>
      <c r="B74" s="75" t="s">
        <v>215</v>
      </c>
      <c r="C74" s="38" t="s">
        <v>216</v>
      </c>
      <c r="D74" s="50" t="s">
        <v>217</v>
      </c>
      <c r="E74" s="40">
        <v>410</v>
      </c>
      <c r="F74" s="41" t="s">
        <v>139</v>
      </c>
      <c r="G74" s="42">
        <f t="shared" si="42"/>
        <v>30000000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>
        <f>15000000+15000000</f>
        <v>30000000</v>
      </c>
      <c r="AA74" s="42"/>
      <c r="AB74" s="42"/>
      <c r="AC74" s="42"/>
      <c r="AD74" s="42"/>
      <c r="AE74" s="43">
        <f t="shared" si="32"/>
        <v>0.78402593333333337</v>
      </c>
      <c r="AF74" s="42">
        <f t="shared" si="43"/>
        <v>23520778</v>
      </c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>
        <f>+'[8]AGOSTO 2019'!$AA$2265</f>
        <v>23520778</v>
      </c>
      <c r="AZ74" s="42"/>
      <c r="BA74" s="42"/>
      <c r="BB74" s="42"/>
      <c r="BC74" s="42"/>
      <c r="BD74" s="43">
        <f t="shared" si="60"/>
        <v>0.21597406666666663</v>
      </c>
      <c r="BE74" s="42">
        <f t="shared" si="44"/>
        <v>6479222</v>
      </c>
      <c r="BF74" s="42">
        <f t="shared" si="45"/>
        <v>0</v>
      </c>
      <c r="BG74" s="42">
        <f t="shared" si="45"/>
        <v>0</v>
      </c>
      <c r="BH74" s="42">
        <f t="shared" si="45"/>
        <v>0</v>
      </c>
      <c r="BI74" s="42">
        <f t="shared" si="46"/>
        <v>0</v>
      </c>
      <c r="BJ74" s="42">
        <f t="shared" ref="BJ74:BX80" si="66">L74-AK74</f>
        <v>0</v>
      </c>
      <c r="BK74" s="42">
        <f t="shared" si="66"/>
        <v>0</v>
      </c>
      <c r="BL74" s="42">
        <f t="shared" si="66"/>
        <v>0</v>
      </c>
      <c r="BM74" s="42">
        <f t="shared" si="66"/>
        <v>0</v>
      </c>
      <c r="BN74" s="42">
        <f t="shared" si="66"/>
        <v>0</v>
      </c>
      <c r="BO74" s="42">
        <f t="shared" si="66"/>
        <v>0</v>
      </c>
      <c r="BP74" s="42">
        <f t="shared" si="66"/>
        <v>0</v>
      </c>
      <c r="BQ74" s="42">
        <f t="shared" si="66"/>
        <v>0</v>
      </c>
      <c r="BR74" s="42">
        <f t="shared" si="66"/>
        <v>0</v>
      </c>
      <c r="BS74" s="42">
        <f t="shared" si="66"/>
        <v>0</v>
      </c>
      <c r="BT74" s="42">
        <f t="shared" si="66"/>
        <v>0</v>
      </c>
      <c r="BU74" s="42">
        <f t="shared" si="66"/>
        <v>0</v>
      </c>
      <c r="BV74" s="42">
        <f t="shared" si="66"/>
        <v>0</v>
      </c>
      <c r="BW74" s="42">
        <f t="shared" si="66"/>
        <v>0</v>
      </c>
      <c r="BX74" s="42">
        <f t="shared" si="66"/>
        <v>6479222</v>
      </c>
      <c r="BY74" s="42">
        <f t="shared" si="56"/>
        <v>0</v>
      </c>
      <c r="BZ74" s="42">
        <f t="shared" si="48"/>
        <v>0</v>
      </c>
      <c r="CA74" s="42"/>
      <c r="CB74" s="42">
        <f t="shared" si="49"/>
        <v>0</v>
      </c>
      <c r="CC74" s="43">
        <f t="shared" si="61"/>
        <v>0.78402583333333331</v>
      </c>
      <c r="CD74" s="42">
        <f t="shared" si="50"/>
        <v>23520775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>
        <f>+'[8]AGOSTO 2019'!$H$2263</f>
        <v>23520775</v>
      </c>
      <c r="CX74" s="42"/>
      <c r="CY74" s="42"/>
      <c r="CZ74" s="42"/>
      <c r="DA74" s="42"/>
      <c r="DB74" s="43">
        <f t="shared" si="62"/>
        <v>0.21597416666666669</v>
      </c>
      <c r="DC74" s="42">
        <f t="shared" si="51"/>
        <v>6479225</v>
      </c>
      <c r="DD74" s="42">
        <f t="shared" ref="DD74:DR80" si="67">H74-CE74</f>
        <v>0</v>
      </c>
      <c r="DE74" s="42">
        <f t="shared" si="67"/>
        <v>0</v>
      </c>
      <c r="DF74" s="42">
        <f t="shared" si="67"/>
        <v>0</v>
      </c>
      <c r="DG74" s="42">
        <f t="shared" si="67"/>
        <v>0</v>
      </c>
      <c r="DH74" s="42">
        <f t="shared" si="67"/>
        <v>0</v>
      </c>
      <c r="DI74" s="42">
        <f t="shared" si="67"/>
        <v>0</v>
      </c>
      <c r="DJ74" s="42">
        <f t="shared" si="67"/>
        <v>0</v>
      </c>
      <c r="DK74" s="42">
        <f t="shared" si="67"/>
        <v>0</v>
      </c>
      <c r="DL74" s="42">
        <f t="shared" si="67"/>
        <v>0</v>
      </c>
      <c r="DM74" s="42">
        <f t="shared" si="67"/>
        <v>0</v>
      </c>
      <c r="DN74" s="42">
        <f t="shared" si="67"/>
        <v>0</v>
      </c>
      <c r="DO74" s="42">
        <f t="shared" si="67"/>
        <v>0</v>
      </c>
      <c r="DP74" s="42">
        <f t="shared" si="67"/>
        <v>0</v>
      </c>
      <c r="DQ74" s="42">
        <f t="shared" si="67"/>
        <v>0</v>
      </c>
      <c r="DR74" s="42">
        <f t="shared" si="67"/>
        <v>0</v>
      </c>
      <c r="DS74" s="42">
        <f t="shared" si="57"/>
        <v>0</v>
      </c>
      <c r="DT74" s="42">
        <f t="shared" si="53"/>
        <v>0</v>
      </c>
      <c r="DU74" s="42">
        <f t="shared" si="53"/>
        <v>0</v>
      </c>
      <c r="DV74" s="42">
        <f t="shared" si="53"/>
        <v>6479225</v>
      </c>
      <c r="DW74" s="42">
        <f t="shared" si="53"/>
        <v>0</v>
      </c>
      <c r="DX74" s="42">
        <f t="shared" si="53"/>
        <v>0</v>
      </c>
      <c r="DY74" s="42"/>
      <c r="DZ74" s="42">
        <f t="shared" si="54"/>
        <v>0</v>
      </c>
      <c r="EB74" s="47">
        <f t="shared" si="63"/>
        <v>30000000</v>
      </c>
      <c r="EC74" s="47">
        <f t="shared" si="64"/>
        <v>30000000</v>
      </c>
      <c r="ED74" s="47">
        <f t="shared" si="65"/>
        <v>30000000</v>
      </c>
      <c r="EJ74" s="74">
        <f t="shared" si="55"/>
        <v>23520775</v>
      </c>
      <c r="EK74" s="241"/>
    </row>
    <row r="75" spans="1:141" ht="58.8" hidden="1" customHeight="1" x14ac:dyDescent="0.3">
      <c r="A75" s="88"/>
      <c r="B75" s="75"/>
      <c r="C75" s="38" t="s">
        <v>218</v>
      </c>
      <c r="D75" s="50" t="s">
        <v>219</v>
      </c>
      <c r="E75" s="40">
        <v>410</v>
      </c>
      <c r="F75" s="41" t="s">
        <v>139</v>
      </c>
      <c r="G75" s="42">
        <f t="shared" si="42"/>
        <v>0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3" t="e">
        <f t="shared" si="32"/>
        <v>#DIV/0!</v>
      </c>
      <c r="AF75" s="42">
        <f t="shared" si="43"/>
        <v>0</v>
      </c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3" t="e">
        <f t="shared" si="60"/>
        <v>#DIV/0!</v>
      </c>
      <c r="BE75" s="42">
        <f t="shared" si="44"/>
        <v>0</v>
      </c>
      <c r="BF75" s="42">
        <f t="shared" si="45"/>
        <v>0</v>
      </c>
      <c r="BG75" s="42">
        <f t="shared" si="45"/>
        <v>0</v>
      </c>
      <c r="BH75" s="42">
        <f t="shared" si="45"/>
        <v>0</v>
      </c>
      <c r="BI75" s="42">
        <f t="shared" si="46"/>
        <v>0</v>
      </c>
      <c r="BJ75" s="42">
        <f t="shared" si="66"/>
        <v>0</v>
      </c>
      <c r="BK75" s="42">
        <f t="shared" si="66"/>
        <v>0</v>
      </c>
      <c r="BL75" s="42">
        <f t="shared" si="66"/>
        <v>0</v>
      </c>
      <c r="BM75" s="42">
        <f t="shared" si="66"/>
        <v>0</v>
      </c>
      <c r="BN75" s="42">
        <f t="shared" si="66"/>
        <v>0</v>
      </c>
      <c r="BO75" s="42">
        <f t="shared" si="66"/>
        <v>0</v>
      </c>
      <c r="BP75" s="42">
        <f t="shared" si="66"/>
        <v>0</v>
      </c>
      <c r="BQ75" s="42">
        <f t="shared" si="66"/>
        <v>0</v>
      </c>
      <c r="BR75" s="42">
        <f t="shared" si="66"/>
        <v>0</v>
      </c>
      <c r="BS75" s="42">
        <f t="shared" si="66"/>
        <v>0</v>
      </c>
      <c r="BT75" s="42">
        <f t="shared" si="66"/>
        <v>0</v>
      </c>
      <c r="BU75" s="42">
        <f t="shared" si="66"/>
        <v>0</v>
      </c>
      <c r="BV75" s="42">
        <f t="shared" si="66"/>
        <v>0</v>
      </c>
      <c r="BW75" s="42">
        <f t="shared" si="66"/>
        <v>0</v>
      </c>
      <c r="BX75" s="42">
        <f t="shared" si="66"/>
        <v>0</v>
      </c>
      <c r="BY75" s="42">
        <f t="shared" si="56"/>
        <v>0</v>
      </c>
      <c r="BZ75" s="42">
        <f t="shared" si="48"/>
        <v>0</v>
      </c>
      <c r="CA75" s="42"/>
      <c r="CB75" s="42">
        <f t="shared" si="49"/>
        <v>0</v>
      </c>
      <c r="CC75" s="43" t="e">
        <f t="shared" si="61"/>
        <v>#DIV/0!</v>
      </c>
      <c r="CD75" s="42">
        <f t="shared" si="50"/>
        <v>0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3" t="e">
        <f t="shared" si="62"/>
        <v>#DIV/0!</v>
      </c>
      <c r="DC75" s="42">
        <f t="shared" si="51"/>
        <v>0</v>
      </c>
      <c r="DD75" s="42">
        <f t="shared" si="67"/>
        <v>0</v>
      </c>
      <c r="DE75" s="42">
        <f t="shared" si="67"/>
        <v>0</v>
      </c>
      <c r="DF75" s="42">
        <f t="shared" si="67"/>
        <v>0</v>
      </c>
      <c r="DG75" s="42">
        <f t="shared" si="67"/>
        <v>0</v>
      </c>
      <c r="DH75" s="42">
        <f t="shared" si="67"/>
        <v>0</v>
      </c>
      <c r="DI75" s="42">
        <f t="shared" si="67"/>
        <v>0</v>
      </c>
      <c r="DJ75" s="42">
        <f t="shared" si="67"/>
        <v>0</v>
      </c>
      <c r="DK75" s="42">
        <f t="shared" si="67"/>
        <v>0</v>
      </c>
      <c r="DL75" s="42">
        <f t="shared" si="67"/>
        <v>0</v>
      </c>
      <c r="DM75" s="42">
        <f t="shared" si="67"/>
        <v>0</v>
      </c>
      <c r="DN75" s="42">
        <f t="shared" si="67"/>
        <v>0</v>
      </c>
      <c r="DO75" s="42">
        <f t="shared" si="67"/>
        <v>0</v>
      </c>
      <c r="DP75" s="42">
        <f t="shared" si="67"/>
        <v>0</v>
      </c>
      <c r="DQ75" s="42">
        <f t="shared" si="67"/>
        <v>0</v>
      </c>
      <c r="DR75" s="42">
        <f t="shared" si="67"/>
        <v>0</v>
      </c>
      <c r="DS75" s="42">
        <f t="shared" si="57"/>
        <v>0</v>
      </c>
      <c r="DT75" s="42">
        <f t="shared" si="53"/>
        <v>0</v>
      </c>
      <c r="DU75" s="42">
        <f t="shared" si="53"/>
        <v>0</v>
      </c>
      <c r="DV75" s="42">
        <f t="shared" si="53"/>
        <v>0</v>
      </c>
      <c r="DW75" s="42">
        <f t="shared" si="53"/>
        <v>0</v>
      </c>
      <c r="DX75" s="42">
        <f t="shared" si="53"/>
        <v>0</v>
      </c>
      <c r="DY75" s="42"/>
      <c r="DZ75" s="42">
        <f t="shared" si="54"/>
        <v>0</v>
      </c>
      <c r="EB75" s="47">
        <f t="shared" si="63"/>
        <v>0</v>
      </c>
      <c r="EC75" s="47">
        <f t="shared" si="64"/>
        <v>0</v>
      </c>
      <c r="ED75" s="47">
        <f t="shared" si="65"/>
        <v>0</v>
      </c>
      <c r="EJ75" s="74">
        <f t="shared" si="55"/>
        <v>0</v>
      </c>
      <c r="EK75" s="241"/>
    </row>
    <row r="76" spans="1:141" ht="28.8" hidden="1" customHeight="1" x14ac:dyDescent="0.3">
      <c r="A76" s="82"/>
      <c r="B76" s="80" t="s">
        <v>220</v>
      </c>
      <c r="C76" s="38" t="s">
        <v>221</v>
      </c>
      <c r="D76" s="50" t="s">
        <v>222</v>
      </c>
      <c r="E76" s="40">
        <v>410</v>
      </c>
      <c r="F76" s="41" t="s">
        <v>223</v>
      </c>
      <c r="G76" s="42">
        <f t="shared" si="42"/>
        <v>157000000</v>
      </c>
      <c r="H76" s="42"/>
      <c r="I76" s="42"/>
      <c r="J76" s="42"/>
      <c r="K76" s="42"/>
      <c r="L76" s="42"/>
      <c r="M76" s="42"/>
      <c r="N76" s="58"/>
      <c r="O76" s="42">
        <f>32000000+15000000</f>
        <v>47000000</v>
      </c>
      <c r="P76" s="58"/>
      <c r="Q76" s="58"/>
      <c r="R76" s="42"/>
      <c r="S76" s="42">
        <f>20000000</f>
        <v>20000000</v>
      </c>
      <c r="T76" s="42"/>
      <c r="U76" s="42"/>
      <c r="V76" s="42"/>
      <c r="W76" s="42"/>
      <c r="X76" s="42"/>
      <c r="Y76" s="42"/>
      <c r="Z76" s="42">
        <f>50000000+15000000</f>
        <v>65000000</v>
      </c>
      <c r="AA76" s="42"/>
      <c r="AB76" s="42"/>
      <c r="AC76" s="42"/>
      <c r="AD76" s="42">
        <f>25000000</f>
        <v>25000000</v>
      </c>
      <c r="AE76" s="43">
        <f t="shared" si="32"/>
        <v>0.96898531210191086</v>
      </c>
      <c r="AF76" s="42">
        <f t="shared" si="43"/>
        <v>152130694</v>
      </c>
      <c r="AG76" s="42"/>
      <c r="AH76" s="42"/>
      <c r="AI76" s="42"/>
      <c r="AJ76" s="42"/>
      <c r="AK76" s="42"/>
      <c r="AL76" s="42"/>
      <c r="AM76" s="42"/>
      <c r="AN76" s="42">
        <f>+'[3]NOVIEMBRE 2019'!$Q$3448</f>
        <v>45418660</v>
      </c>
      <c r="AO76" s="42"/>
      <c r="AP76" s="42"/>
      <c r="AQ76" s="42"/>
      <c r="AR76" s="42">
        <f>+'[3]NOVIEMBRE 2019'!$U$3448</f>
        <v>18457751</v>
      </c>
      <c r="AS76" s="42"/>
      <c r="AT76" s="42"/>
      <c r="AU76" s="42"/>
      <c r="AV76" s="42"/>
      <c r="AW76" s="42"/>
      <c r="AX76" s="42"/>
      <c r="AY76" s="42">
        <f>+'[3]NOVIEMBRE 2019'!$AB$3448</f>
        <v>63254283</v>
      </c>
      <c r="AZ76" s="42"/>
      <c r="BA76" s="42"/>
      <c r="BB76" s="42"/>
      <c r="BC76" s="42">
        <f>+'[3]NOVIEMBRE 2019'!$AG$3448</f>
        <v>25000000</v>
      </c>
      <c r="BD76" s="43">
        <f t="shared" si="60"/>
        <v>3.1014687898089144E-2</v>
      </c>
      <c r="BE76" s="42">
        <f t="shared" si="44"/>
        <v>4869306</v>
      </c>
      <c r="BF76" s="42">
        <f t="shared" si="45"/>
        <v>0</v>
      </c>
      <c r="BG76" s="42">
        <f t="shared" si="45"/>
        <v>0</v>
      </c>
      <c r="BH76" s="42">
        <f t="shared" si="45"/>
        <v>0</v>
      </c>
      <c r="BI76" s="42">
        <f t="shared" si="46"/>
        <v>0</v>
      </c>
      <c r="BJ76" s="42">
        <f t="shared" si="66"/>
        <v>0</v>
      </c>
      <c r="BK76" s="42">
        <f t="shared" si="66"/>
        <v>0</v>
      </c>
      <c r="BL76" s="42">
        <f t="shared" si="66"/>
        <v>0</v>
      </c>
      <c r="BM76" s="42">
        <f t="shared" si="66"/>
        <v>1581340</v>
      </c>
      <c r="BN76" s="42">
        <f t="shared" si="66"/>
        <v>0</v>
      </c>
      <c r="BO76" s="42">
        <f t="shared" si="66"/>
        <v>0</v>
      </c>
      <c r="BP76" s="42">
        <f t="shared" si="66"/>
        <v>0</v>
      </c>
      <c r="BQ76" s="42">
        <f t="shared" si="66"/>
        <v>1542249</v>
      </c>
      <c r="BR76" s="42">
        <f t="shared" si="66"/>
        <v>0</v>
      </c>
      <c r="BS76" s="42">
        <f t="shared" si="66"/>
        <v>0</v>
      </c>
      <c r="BT76" s="42">
        <f t="shared" si="66"/>
        <v>0</v>
      </c>
      <c r="BU76" s="42">
        <f t="shared" si="66"/>
        <v>0</v>
      </c>
      <c r="BV76" s="42">
        <f t="shared" si="66"/>
        <v>0</v>
      </c>
      <c r="BW76" s="42">
        <f t="shared" si="66"/>
        <v>0</v>
      </c>
      <c r="BX76" s="42">
        <f t="shared" si="66"/>
        <v>1745717</v>
      </c>
      <c r="BY76" s="42">
        <f t="shared" si="56"/>
        <v>0</v>
      </c>
      <c r="BZ76" s="42">
        <f t="shared" si="48"/>
        <v>0</v>
      </c>
      <c r="CA76" s="42"/>
      <c r="CB76" s="42">
        <f t="shared" si="49"/>
        <v>0</v>
      </c>
      <c r="CC76" s="43">
        <f t="shared" si="61"/>
        <v>0.62939356687898085</v>
      </c>
      <c r="CD76" s="42">
        <f t="shared" si="50"/>
        <v>98814790</v>
      </c>
      <c r="CE76" s="42"/>
      <c r="CF76" s="42"/>
      <c r="CG76" s="42"/>
      <c r="CH76" s="42"/>
      <c r="CI76" s="42"/>
      <c r="CJ76" s="42"/>
      <c r="CK76" s="42"/>
      <c r="CL76" s="42">
        <f>+'[3]NOVIEMBRE 2019'!$H$3455+'[3]NOVIEMBRE 2019'!$H$3463+'[3]NOVIEMBRE 2019'!$H$3473+'[3]NOVIEMBRE 2019'!$H$3474</f>
        <v>22222765</v>
      </c>
      <c r="CM76" s="42"/>
      <c r="CN76" s="42"/>
      <c r="CO76" s="42"/>
      <c r="CP76" s="42">
        <f>+'[3]NOVIEMBRE 2019'!$H$3453+'[3]NOVIEMBRE 2019'!$H$3466+'[3]NOVIEMBRE 2019'!$H$3478+'[3]NOVIEMBRE 2019'!$H$3485</f>
        <v>13337742</v>
      </c>
      <c r="CQ76" s="42"/>
      <c r="CR76" s="42"/>
      <c r="CS76" s="42"/>
      <c r="CT76" s="42"/>
      <c r="CU76" s="42"/>
      <c r="CV76" s="42"/>
      <c r="CW76" s="42">
        <f>+'[3]NOVIEMBRE 2019'!$H$3449+'[3]NOVIEMBRE 2019'!$H$3451+'[3]NOVIEMBRE 2019'!$H$3457+'[3]NOVIEMBRE 2019'!$H$3459+'[3]NOVIEMBRE 2019'!$H$3461+'[3]NOVIEMBRE 2019'!$H$3475+'[3]NOVIEMBRE 2019'!$H$3481</f>
        <v>63254283</v>
      </c>
      <c r="CX76" s="42"/>
      <c r="CY76" s="42"/>
      <c r="CZ76" s="42"/>
      <c r="DA76" s="42"/>
      <c r="DB76" s="43">
        <f t="shared" si="62"/>
        <v>0.37060643312101915</v>
      </c>
      <c r="DC76" s="42">
        <f t="shared" si="51"/>
        <v>58185210</v>
      </c>
      <c r="DD76" s="42">
        <f t="shared" si="67"/>
        <v>0</v>
      </c>
      <c r="DE76" s="42">
        <f t="shared" si="67"/>
        <v>0</v>
      </c>
      <c r="DF76" s="42">
        <f t="shared" si="67"/>
        <v>0</v>
      </c>
      <c r="DG76" s="42">
        <f t="shared" si="67"/>
        <v>0</v>
      </c>
      <c r="DH76" s="42">
        <f t="shared" si="67"/>
        <v>0</v>
      </c>
      <c r="DI76" s="42">
        <f t="shared" si="67"/>
        <v>0</v>
      </c>
      <c r="DJ76" s="42">
        <f t="shared" si="67"/>
        <v>0</v>
      </c>
      <c r="DK76" s="42">
        <f t="shared" si="67"/>
        <v>24777235</v>
      </c>
      <c r="DL76" s="42">
        <f t="shared" si="67"/>
        <v>0</v>
      </c>
      <c r="DM76" s="42">
        <f t="shared" si="67"/>
        <v>0</v>
      </c>
      <c r="DN76" s="42">
        <f t="shared" si="67"/>
        <v>0</v>
      </c>
      <c r="DO76" s="42">
        <f t="shared" si="67"/>
        <v>6662258</v>
      </c>
      <c r="DP76" s="42">
        <f t="shared" si="67"/>
        <v>0</v>
      </c>
      <c r="DQ76" s="42">
        <f t="shared" si="67"/>
        <v>0</v>
      </c>
      <c r="DR76" s="42">
        <f t="shared" si="67"/>
        <v>0</v>
      </c>
      <c r="DS76" s="42">
        <f t="shared" si="57"/>
        <v>0</v>
      </c>
      <c r="DT76" s="42">
        <f t="shared" si="53"/>
        <v>0</v>
      </c>
      <c r="DU76" s="42">
        <f t="shared" si="53"/>
        <v>0</v>
      </c>
      <c r="DV76" s="42">
        <f t="shared" si="53"/>
        <v>1745717</v>
      </c>
      <c r="DW76" s="42">
        <f t="shared" si="53"/>
        <v>0</v>
      </c>
      <c r="DX76" s="42">
        <f t="shared" si="53"/>
        <v>0</v>
      </c>
      <c r="DY76" s="42"/>
      <c r="DZ76" s="42">
        <f t="shared" si="54"/>
        <v>25000000</v>
      </c>
      <c r="EA76" s="73"/>
      <c r="EB76" s="47">
        <f t="shared" si="63"/>
        <v>157000000</v>
      </c>
      <c r="EC76" s="47">
        <f t="shared" si="64"/>
        <v>157000000</v>
      </c>
      <c r="ED76" s="47">
        <f t="shared" si="65"/>
        <v>157000000</v>
      </c>
      <c r="EJ76" s="74">
        <f t="shared" si="55"/>
        <v>98814790</v>
      </c>
      <c r="EK76" s="241"/>
    </row>
    <row r="77" spans="1:141" ht="42" hidden="1" customHeight="1" x14ac:dyDescent="0.3">
      <c r="A77" s="82"/>
      <c r="B77" s="80"/>
      <c r="C77" s="38" t="s">
        <v>224</v>
      </c>
      <c r="D77" s="50" t="s">
        <v>225</v>
      </c>
      <c r="E77" s="40">
        <v>410</v>
      </c>
      <c r="F77" s="41" t="s">
        <v>139</v>
      </c>
      <c r="G77" s="42">
        <f t="shared" si="42"/>
        <v>10000000</v>
      </c>
      <c r="H77" s="42"/>
      <c r="I77" s="42"/>
      <c r="J77" s="42"/>
      <c r="K77" s="42"/>
      <c r="L77" s="42"/>
      <c r="M77" s="42"/>
      <c r="N77" s="58"/>
      <c r="O77" s="42"/>
      <c r="P77" s="58"/>
      <c r="Q77" s="58"/>
      <c r="R77" s="42"/>
      <c r="S77" s="42"/>
      <c r="T77" s="42"/>
      <c r="U77" s="42"/>
      <c r="V77" s="42"/>
      <c r="W77" s="42"/>
      <c r="X77" s="42"/>
      <c r="Y77" s="42"/>
      <c r="Z77" s="42">
        <v>10000000</v>
      </c>
      <c r="AA77" s="42"/>
      <c r="AB77" s="42"/>
      <c r="AC77" s="42"/>
      <c r="AD77" s="42"/>
      <c r="AE77" s="43">
        <f t="shared" si="32"/>
        <v>0</v>
      </c>
      <c r="AF77" s="42">
        <f t="shared" si="43"/>
        <v>0</v>
      </c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3">
        <f t="shared" si="60"/>
        <v>1</v>
      </c>
      <c r="BE77" s="42">
        <f t="shared" si="44"/>
        <v>10000000</v>
      </c>
      <c r="BF77" s="42">
        <f t="shared" si="45"/>
        <v>0</v>
      </c>
      <c r="BG77" s="42">
        <f t="shared" si="45"/>
        <v>0</v>
      </c>
      <c r="BH77" s="42">
        <f t="shared" si="45"/>
        <v>0</v>
      </c>
      <c r="BI77" s="42">
        <f t="shared" si="46"/>
        <v>0</v>
      </c>
      <c r="BJ77" s="42">
        <f t="shared" si="66"/>
        <v>0</v>
      </c>
      <c r="BK77" s="42">
        <f t="shared" si="66"/>
        <v>0</v>
      </c>
      <c r="BL77" s="42">
        <f t="shared" si="66"/>
        <v>0</v>
      </c>
      <c r="BM77" s="42">
        <f t="shared" si="66"/>
        <v>0</v>
      </c>
      <c r="BN77" s="42">
        <f t="shared" si="66"/>
        <v>0</v>
      </c>
      <c r="BO77" s="42">
        <f t="shared" si="66"/>
        <v>0</v>
      </c>
      <c r="BP77" s="42">
        <f t="shared" si="66"/>
        <v>0</v>
      </c>
      <c r="BQ77" s="42">
        <f t="shared" si="66"/>
        <v>0</v>
      </c>
      <c r="BR77" s="42">
        <f t="shared" si="66"/>
        <v>0</v>
      </c>
      <c r="BS77" s="42">
        <f t="shared" si="66"/>
        <v>0</v>
      </c>
      <c r="BT77" s="42">
        <f t="shared" si="66"/>
        <v>0</v>
      </c>
      <c r="BU77" s="42">
        <f t="shared" si="66"/>
        <v>0</v>
      </c>
      <c r="BV77" s="42">
        <f t="shared" si="66"/>
        <v>0</v>
      </c>
      <c r="BW77" s="42">
        <f t="shared" si="66"/>
        <v>0</v>
      </c>
      <c r="BX77" s="42">
        <f t="shared" si="66"/>
        <v>10000000</v>
      </c>
      <c r="BY77" s="42">
        <f t="shared" si="56"/>
        <v>0</v>
      </c>
      <c r="BZ77" s="42">
        <f t="shared" si="48"/>
        <v>0</v>
      </c>
      <c r="CA77" s="42"/>
      <c r="CB77" s="42">
        <f t="shared" si="49"/>
        <v>0</v>
      </c>
      <c r="CC77" s="43">
        <f t="shared" si="61"/>
        <v>0</v>
      </c>
      <c r="CD77" s="42">
        <f t="shared" si="50"/>
        <v>0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3">
        <f t="shared" si="62"/>
        <v>1</v>
      </c>
      <c r="DC77" s="42">
        <f t="shared" si="51"/>
        <v>10000000</v>
      </c>
      <c r="DD77" s="42">
        <f t="shared" si="67"/>
        <v>0</v>
      </c>
      <c r="DE77" s="42">
        <f t="shared" si="67"/>
        <v>0</v>
      </c>
      <c r="DF77" s="42">
        <f t="shared" si="67"/>
        <v>0</v>
      </c>
      <c r="DG77" s="42">
        <f t="shared" si="67"/>
        <v>0</v>
      </c>
      <c r="DH77" s="42">
        <f t="shared" si="67"/>
        <v>0</v>
      </c>
      <c r="DI77" s="42">
        <f t="shared" si="67"/>
        <v>0</v>
      </c>
      <c r="DJ77" s="42">
        <f t="shared" si="67"/>
        <v>0</v>
      </c>
      <c r="DK77" s="42">
        <f t="shared" si="67"/>
        <v>0</v>
      </c>
      <c r="DL77" s="42">
        <f t="shared" si="67"/>
        <v>0</v>
      </c>
      <c r="DM77" s="42">
        <f t="shared" si="67"/>
        <v>0</v>
      </c>
      <c r="DN77" s="42">
        <f t="shared" si="67"/>
        <v>0</v>
      </c>
      <c r="DO77" s="42">
        <f t="shared" si="67"/>
        <v>0</v>
      </c>
      <c r="DP77" s="42">
        <f t="shared" si="67"/>
        <v>0</v>
      </c>
      <c r="DQ77" s="42">
        <f t="shared" si="67"/>
        <v>0</v>
      </c>
      <c r="DR77" s="42">
        <f t="shared" si="67"/>
        <v>0</v>
      </c>
      <c r="DS77" s="42">
        <f t="shared" si="57"/>
        <v>0</v>
      </c>
      <c r="DT77" s="42">
        <f t="shared" si="53"/>
        <v>0</v>
      </c>
      <c r="DU77" s="42">
        <f t="shared" si="53"/>
        <v>0</v>
      </c>
      <c r="DV77" s="42">
        <f t="shared" si="53"/>
        <v>10000000</v>
      </c>
      <c r="DW77" s="42">
        <f t="shared" si="53"/>
        <v>0</v>
      </c>
      <c r="DX77" s="42">
        <f t="shared" si="53"/>
        <v>0</v>
      </c>
      <c r="DY77" s="42"/>
      <c r="DZ77" s="42">
        <f t="shared" si="54"/>
        <v>0</v>
      </c>
      <c r="EA77" s="73"/>
      <c r="EB77" s="47">
        <f t="shared" si="63"/>
        <v>10000000</v>
      </c>
      <c r="EC77" s="47">
        <f t="shared" si="64"/>
        <v>10000000</v>
      </c>
      <c r="ED77" s="47">
        <f t="shared" si="65"/>
        <v>10000000</v>
      </c>
      <c r="EJ77" s="74">
        <f t="shared" si="55"/>
        <v>0</v>
      </c>
      <c r="EK77" s="241"/>
    </row>
    <row r="78" spans="1:141" ht="54" hidden="1" customHeight="1" x14ac:dyDescent="0.3">
      <c r="A78" s="82"/>
      <c r="B78" s="53" t="s">
        <v>226</v>
      </c>
      <c r="C78" s="38" t="s">
        <v>227</v>
      </c>
      <c r="D78" s="50" t="s">
        <v>228</v>
      </c>
      <c r="E78" s="40">
        <v>410</v>
      </c>
      <c r="F78" s="41" t="s">
        <v>229</v>
      </c>
      <c r="G78" s="42">
        <f t="shared" si="42"/>
        <v>236982598</v>
      </c>
      <c r="H78" s="42"/>
      <c r="I78" s="42"/>
      <c r="J78" s="42"/>
      <c r="K78" s="42"/>
      <c r="L78" s="42"/>
      <c r="M78" s="42"/>
      <c r="N78" s="58"/>
      <c r="O78" s="42">
        <f>50000000+50000000</f>
        <v>100000000</v>
      </c>
      <c r="P78" s="58"/>
      <c r="Q78" s="58"/>
      <c r="R78" s="42"/>
      <c r="S78" s="42"/>
      <c r="T78" s="42"/>
      <c r="U78" s="42"/>
      <c r="V78" s="42"/>
      <c r="W78" s="42"/>
      <c r="X78" s="42"/>
      <c r="Y78" s="42"/>
      <c r="Z78" s="42">
        <f>30000000+30000000</f>
        <v>60000000</v>
      </c>
      <c r="AA78" s="42"/>
      <c r="AB78" s="42"/>
      <c r="AC78" s="42"/>
      <c r="AD78" s="42">
        <f>50982598+4000000+18000000+4000000</f>
        <v>76982598</v>
      </c>
      <c r="AE78" s="43">
        <f t="shared" si="32"/>
        <v>0.83213772937032282</v>
      </c>
      <c r="AF78" s="42">
        <f t="shared" si="43"/>
        <v>197202161</v>
      </c>
      <c r="AG78" s="42"/>
      <c r="AH78" s="42"/>
      <c r="AI78" s="42"/>
      <c r="AJ78" s="42"/>
      <c r="AK78" s="42"/>
      <c r="AL78" s="42"/>
      <c r="AM78" s="42"/>
      <c r="AN78" s="42">
        <f>+'[3]NOVIEMBRE 2019'!$Q$3505</f>
        <v>91892248</v>
      </c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>
        <f>+'[3]NOVIEMBRE 2019'!$AB$3505</f>
        <v>37587315</v>
      </c>
      <c r="AZ78" s="42"/>
      <c r="BA78" s="42"/>
      <c r="BB78" s="42"/>
      <c r="BC78" s="42">
        <f>+'[1]OCTUBRE 2019'!$AG$3085</f>
        <v>67722598</v>
      </c>
      <c r="BD78" s="43">
        <f t="shared" si="60"/>
        <v>0.16786227062967718</v>
      </c>
      <c r="BE78" s="42">
        <f t="shared" si="44"/>
        <v>39780437</v>
      </c>
      <c r="BF78" s="42">
        <f t="shared" si="45"/>
        <v>0</v>
      </c>
      <c r="BG78" s="42">
        <f t="shared" si="45"/>
        <v>0</v>
      </c>
      <c r="BH78" s="42">
        <f t="shared" si="45"/>
        <v>0</v>
      </c>
      <c r="BI78" s="42">
        <f t="shared" si="46"/>
        <v>0</v>
      </c>
      <c r="BJ78" s="42">
        <f t="shared" si="66"/>
        <v>0</v>
      </c>
      <c r="BK78" s="42">
        <f t="shared" si="66"/>
        <v>0</v>
      </c>
      <c r="BL78" s="42">
        <f t="shared" si="66"/>
        <v>0</v>
      </c>
      <c r="BM78" s="42">
        <f t="shared" si="66"/>
        <v>8107752</v>
      </c>
      <c r="BN78" s="42">
        <f t="shared" si="66"/>
        <v>0</v>
      </c>
      <c r="BO78" s="42">
        <f t="shared" si="66"/>
        <v>0</v>
      </c>
      <c r="BP78" s="42">
        <f t="shared" si="66"/>
        <v>0</v>
      </c>
      <c r="BQ78" s="42">
        <f t="shared" si="66"/>
        <v>0</v>
      </c>
      <c r="BR78" s="42">
        <f t="shared" si="66"/>
        <v>0</v>
      </c>
      <c r="BS78" s="42">
        <f t="shared" si="66"/>
        <v>0</v>
      </c>
      <c r="BT78" s="42">
        <f t="shared" si="66"/>
        <v>0</v>
      </c>
      <c r="BU78" s="42">
        <f t="shared" si="66"/>
        <v>0</v>
      </c>
      <c r="BV78" s="42">
        <f t="shared" si="66"/>
        <v>0</v>
      </c>
      <c r="BW78" s="42">
        <f t="shared" si="66"/>
        <v>0</v>
      </c>
      <c r="BX78" s="42">
        <f t="shared" si="66"/>
        <v>22412685</v>
      </c>
      <c r="BY78" s="42">
        <f t="shared" si="56"/>
        <v>0</v>
      </c>
      <c r="BZ78" s="42">
        <f t="shared" si="48"/>
        <v>0</v>
      </c>
      <c r="CA78" s="42"/>
      <c r="CB78" s="42">
        <f t="shared" si="49"/>
        <v>9260000</v>
      </c>
      <c r="CC78" s="43">
        <f t="shared" si="61"/>
        <v>0.73736756822963012</v>
      </c>
      <c r="CD78" s="42">
        <f t="shared" si="50"/>
        <v>174743282</v>
      </c>
      <c r="CE78" s="42"/>
      <c r="CF78" s="42"/>
      <c r="CG78" s="42"/>
      <c r="CH78" s="42"/>
      <c r="CI78" s="42"/>
      <c r="CJ78" s="42"/>
      <c r="CK78" s="42"/>
      <c r="CL78" s="42">
        <f>+'[3]NOVIEMBRE 2019'!$H$3525+'[3]NOVIEMBRE 2019'!$H$3526+'[3]NOVIEMBRE 2019'!$H$3529+'[3]NOVIEMBRE 2019'!$H$3531+'[3]NOVIEMBRE 2019'!$H$3532+'[3]NOVIEMBRE 2019'!$H$3533+'[3]NOVIEMBRE 2019'!$H$3534+'[3]NOVIEMBRE 2019'!$H$3535+'[3]NOVIEMBRE 2019'!$H$3537+'[3]NOVIEMBRE 2019'!$H$3555+'[3]NOVIEMBRE 2019'!$H$3560+'[3]NOVIEMBRE 2019'!$H$3561+'[3]NOVIEMBRE 2019'!$H$3563+'[3]NOVIEMBRE 2019'!$H$3567+'[3]NOVIEMBRE 2019'!$H$3578+'[3]NOVIEMBRE 2019'!$H$3579+'[3]NOVIEMBRE 2019'!$H$3583</f>
        <v>88101028</v>
      </c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>
        <f>+'[3]NOVIEMBRE 2019'!$AB$3585+'[3]NOVIEMBRE 2019'!$H$3574+'[3]NOVIEMBRE 2019'!$H$3570+'[3]NOVIEMBRE 2019'!$H$3565+'[3]NOVIEMBRE 2019'!$H$3522+'[3]NOVIEMBRE 2019'!$H$3518+'[3]NOVIEMBRE 2019'!$H$3516+'[3]NOVIEMBRE 2019'!$H$3513</f>
        <v>36986726</v>
      </c>
      <c r="CX78" s="42"/>
      <c r="CY78" s="42"/>
      <c r="CZ78" s="42"/>
      <c r="DA78" s="42">
        <f>+'[3]NOVIEMBRE 2019'!$H$3506+'[3]NOVIEMBRE 2019'!$H$3511+'[3]NOVIEMBRE 2019'!$H$3527+'[3]NOVIEMBRE 2019'!$H$3542+'[3]NOVIEMBRE 2019'!$H$3546+'[3]NOVIEMBRE 2019'!$H$3550+'[3]NOVIEMBRE 2019'!$H$3552+'[3]NOVIEMBRE 2019'!$H$3575+'[3]NOVIEMBRE 2019'!$H$3581</f>
        <v>49655528</v>
      </c>
      <c r="DB78" s="43">
        <f t="shared" si="62"/>
        <v>0.26263243177036988</v>
      </c>
      <c r="DC78" s="42">
        <f t="shared" si="51"/>
        <v>62239316</v>
      </c>
      <c r="DD78" s="42">
        <f t="shared" si="67"/>
        <v>0</v>
      </c>
      <c r="DE78" s="42">
        <f t="shared" si="67"/>
        <v>0</v>
      </c>
      <c r="DF78" s="42">
        <f t="shared" si="67"/>
        <v>0</v>
      </c>
      <c r="DG78" s="42">
        <f t="shared" si="67"/>
        <v>0</v>
      </c>
      <c r="DH78" s="42">
        <f t="shared" si="67"/>
        <v>0</v>
      </c>
      <c r="DI78" s="42">
        <f t="shared" si="67"/>
        <v>0</v>
      </c>
      <c r="DJ78" s="42">
        <f t="shared" si="67"/>
        <v>0</v>
      </c>
      <c r="DK78" s="42">
        <f t="shared" si="67"/>
        <v>11898972</v>
      </c>
      <c r="DL78" s="42">
        <f t="shared" si="67"/>
        <v>0</v>
      </c>
      <c r="DM78" s="42">
        <f t="shared" si="67"/>
        <v>0</v>
      </c>
      <c r="DN78" s="42">
        <f t="shared" si="67"/>
        <v>0</v>
      </c>
      <c r="DO78" s="42">
        <f t="shared" si="67"/>
        <v>0</v>
      </c>
      <c r="DP78" s="42">
        <f t="shared" si="67"/>
        <v>0</v>
      </c>
      <c r="DQ78" s="42">
        <f t="shared" si="67"/>
        <v>0</v>
      </c>
      <c r="DR78" s="42">
        <f t="shared" si="67"/>
        <v>0</v>
      </c>
      <c r="DS78" s="42">
        <f t="shared" si="57"/>
        <v>0</v>
      </c>
      <c r="DT78" s="42">
        <f t="shared" si="53"/>
        <v>0</v>
      </c>
      <c r="DU78" s="42">
        <f t="shared" si="53"/>
        <v>0</v>
      </c>
      <c r="DV78" s="42">
        <f t="shared" si="53"/>
        <v>23013274</v>
      </c>
      <c r="DW78" s="42">
        <f t="shared" si="53"/>
        <v>0</v>
      </c>
      <c r="DX78" s="42">
        <f t="shared" si="53"/>
        <v>0</v>
      </c>
      <c r="DY78" s="42"/>
      <c r="DZ78" s="42">
        <f t="shared" si="54"/>
        <v>27327070</v>
      </c>
      <c r="EA78" s="73"/>
      <c r="EB78" s="47">
        <f t="shared" si="63"/>
        <v>236982598</v>
      </c>
      <c r="EC78" s="47">
        <f t="shared" si="64"/>
        <v>236982598</v>
      </c>
      <c r="ED78" s="47">
        <f t="shared" si="65"/>
        <v>236982598</v>
      </c>
      <c r="EJ78" s="74">
        <f t="shared" si="55"/>
        <v>174743282</v>
      </c>
      <c r="EK78" s="241"/>
    </row>
    <row r="79" spans="1:141" ht="28.8" hidden="1" customHeight="1" x14ac:dyDescent="0.3">
      <c r="A79" s="82"/>
      <c r="B79" s="53"/>
      <c r="C79" s="38" t="s">
        <v>230</v>
      </c>
      <c r="D79" s="50" t="s">
        <v>231</v>
      </c>
      <c r="E79" s="40">
        <v>410</v>
      </c>
      <c r="F79" s="41" t="s">
        <v>232</v>
      </c>
      <c r="G79" s="42">
        <f t="shared" si="42"/>
        <v>5000000</v>
      </c>
      <c r="H79" s="42"/>
      <c r="I79" s="42"/>
      <c r="J79" s="42"/>
      <c r="K79" s="42"/>
      <c r="L79" s="42"/>
      <c r="M79" s="42"/>
      <c r="N79" s="58"/>
      <c r="O79" s="42">
        <f>50000000-50000000</f>
        <v>0</v>
      </c>
      <c r="P79" s="58"/>
      <c r="Q79" s="58"/>
      <c r="R79" s="42"/>
      <c r="S79" s="42"/>
      <c r="T79" s="42"/>
      <c r="U79" s="42"/>
      <c r="V79" s="42"/>
      <c r="W79" s="42"/>
      <c r="X79" s="42"/>
      <c r="Y79" s="42"/>
      <c r="Z79" s="42">
        <f>30000000-30000000</f>
        <v>0</v>
      </c>
      <c r="AA79" s="42"/>
      <c r="AB79" s="42"/>
      <c r="AC79" s="42"/>
      <c r="AD79" s="42">
        <f>5000000</f>
        <v>5000000</v>
      </c>
      <c r="AE79" s="43">
        <f t="shared" si="32"/>
        <v>0.1140084</v>
      </c>
      <c r="AF79" s="42">
        <f t="shared" si="43"/>
        <v>570042</v>
      </c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>
        <f>+'[11]ABRIL 2019'!$AF$1191</f>
        <v>570042</v>
      </c>
      <c r="BD79" s="43">
        <f t="shared" si="60"/>
        <v>0.88599159999999999</v>
      </c>
      <c r="BE79" s="42">
        <f t="shared" si="44"/>
        <v>4429958</v>
      </c>
      <c r="BF79" s="42">
        <f t="shared" si="45"/>
        <v>0</v>
      </c>
      <c r="BG79" s="42">
        <f t="shared" si="45"/>
        <v>0</v>
      </c>
      <c r="BH79" s="42">
        <f t="shared" si="45"/>
        <v>0</v>
      </c>
      <c r="BI79" s="42">
        <f t="shared" si="46"/>
        <v>0</v>
      </c>
      <c r="BJ79" s="42">
        <f t="shared" si="66"/>
        <v>0</v>
      </c>
      <c r="BK79" s="42">
        <f t="shared" si="66"/>
        <v>0</v>
      </c>
      <c r="BL79" s="42">
        <f t="shared" si="66"/>
        <v>0</v>
      </c>
      <c r="BM79" s="42">
        <f t="shared" si="66"/>
        <v>0</v>
      </c>
      <c r="BN79" s="42">
        <f t="shared" si="66"/>
        <v>0</v>
      </c>
      <c r="BO79" s="42">
        <f t="shared" si="66"/>
        <v>0</v>
      </c>
      <c r="BP79" s="42">
        <f t="shared" si="66"/>
        <v>0</v>
      </c>
      <c r="BQ79" s="42">
        <f t="shared" si="66"/>
        <v>0</v>
      </c>
      <c r="BR79" s="42">
        <f t="shared" si="66"/>
        <v>0</v>
      </c>
      <c r="BS79" s="42">
        <f t="shared" si="66"/>
        <v>0</v>
      </c>
      <c r="BT79" s="42">
        <f t="shared" si="66"/>
        <v>0</v>
      </c>
      <c r="BU79" s="42">
        <f t="shared" si="66"/>
        <v>0</v>
      </c>
      <c r="BV79" s="42">
        <f t="shared" si="66"/>
        <v>0</v>
      </c>
      <c r="BW79" s="42">
        <f t="shared" si="66"/>
        <v>0</v>
      </c>
      <c r="BX79" s="42">
        <f t="shared" si="66"/>
        <v>0</v>
      </c>
      <c r="BY79" s="42">
        <f t="shared" si="56"/>
        <v>0</v>
      </c>
      <c r="BZ79" s="42">
        <f t="shared" si="48"/>
        <v>0</v>
      </c>
      <c r="CA79" s="42"/>
      <c r="CB79" s="42">
        <f t="shared" si="49"/>
        <v>4429958</v>
      </c>
      <c r="CC79" s="43">
        <f t="shared" si="61"/>
        <v>0.1140084</v>
      </c>
      <c r="CD79" s="42">
        <f t="shared" si="50"/>
        <v>570042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>
        <f>+'[11]ABRIL 2019'!$AF$1191</f>
        <v>570042</v>
      </c>
      <c r="DB79" s="43">
        <f t="shared" si="62"/>
        <v>0.88599159999999999</v>
      </c>
      <c r="DC79" s="42">
        <f t="shared" si="51"/>
        <v>4429958</v>
      </c>
      <c r="DD79" s="42">
        <f t="shared" si="67"/>
        <v>0</v>
      </c>
      <c r="DE79" s="42">
        <f t="shared" si="67"/>
        <v>0</v>
      </c>
      <c r="DF79" s="42">
        <f t="shared" si="67"/>
        <v>0</v>
      </c>
      <c r="DG79" s="42">
        <f t="shared" si="67"/>
        <v>0</v>
      </c>
      <c r="DH79" s="42">
        <f t="shared" si="67"/>
        <v>0</v>
      </c>
      <c r="DI79" s="42">
        <f t="shared" si="67"/>
        <v>0</v>
      </c>
      <c r="DJ79" s="42">
        <f t="shared" si="67"/>
        <v>0</v>
      </c>
      <c r="DK79" s="42">
        <f t="shared" si="67"/>
        <v>0</v>
      </c>
      <c r="DL79" s="42">
        <f t="shared" si="67"/>
        <v>0</v>
      </c>
      <c r="DM79" s="42">
        <f t="shared" si="67"/>
        <v>0</v>
      </c>
      <c r="DN79" s="42">
        <f t="shared" si="67"/>
        <v>0</v>
      </c>
      <c r="DO79" s="42">
        <f t="shared" si="67"/>
        <v>0</v>
      </c>
      <c r="DP79" s="42">
        <f t="shared" si="67"/>
        <v>0</v>
      </c>
      <c r="DQ79" s="42">
        <f t="shared" si="67"/>
        <v>0</v>
      </c>
      <c r="DR79" s="42">
        <f t="shared" si="67"/>
        <v>0</v>
      </c>
      <c r="DS79" s="42">
        <f t="shared" si="57"/>
        <v>0</v>
      </c>
      <c r="DT79" s="42">
        <f t="shared" si="53"/>
        <v>0</v>
      </c>
      <c r="DU79" s="42">
        <f t="shared" si="53"/>
        <v>0</v>
      </c>
      <c r="DV79" s="42">
        <f t="shared" si="53"/>
        <v>0</v>
      </c>
      <c r="DW79" s="42">
        <f t="shared" si="53"/>
        <v>0</v>
      </c>
      <c r="DX79" s="42">
        <f t="shared" si="53"/>
        <v>0</v>
      </c>
      <c r="DY79" s="42"/>
      <c r="DZ79" s="42">
        <f t="shared" si="54"/>
        <v>4429958</v>
      </c>
      <c r="EA79" s="73"/>
      <c r="EB79" s="47">
        <f t="shared" si="63"/>
        <v>5000000</v>
      </c>
      <c r="EC79" s="47">
        <f t="shared" si="64"/>
        <v>5000000</v>
      </c>
      <c r="ED79" s="47">
        <f t="shared" si="65"/>
        <v>5000000</v>
      </c>
      <c r="EJ79" s="74">
        <f t="shared" si="55"/>
        <v>570042</v>
      </c>
      <c r="EK79" s="241"/>
    </row>
    <row r="80" spans="1:141" ht="57.6" hidden="1" customHeight="1" x14ac:dyDescent="0.3">
      <c r="A80" s="82"/>
      <c r="B80" s="53"/>
      <c r="C80" s="38" t="s">
        <v>233</v>
      </c>
      <c r="D80" s="50" t="s">
        <v>234</v>
      </c>
      <c r="E80" s="40">
        <v>410</v>
      </c>
      <c r="F80" s="41" t="s">
        <v>232</v>
      </c>
      <c r="G80" s="42">
        <f t="shared" si="42"/>
        <v>300423391</v>
      </c>
      <c r="H80" s="42"/>
      <c r="I80" s="42"/>
      <c r="J80" s="42"/>
      <c r="K80" s="42"/>
      <c r="L80" s="42"/>
      <c r="M80" s="42"/>
      <c r="N80" s="58"/>
      <c r="O80" s="42">
        <v>50000000</v>
      </c>
      <c r="P80" s="58"/>
      <c r="Q80" s="58"/>
      <c r="R80" s="42"/>
      <c r="S80" s="42"/>
      <c r="T80" s="42"/>
      <c r="U80" s="42"/>
      <c r="V80" s="42"/>
      <c r="W80" s="42"/>
      <c r="X80" s="42"/>
      <c r="Y80" s="42"/>
      <c r="Z80" s="42">
        <f>70423391+80000000+100000000</f>
        <v>250423391</v>
      </c>
      <c r="AA80" s="42"/>
      <c r="AB80" s="42"/>
      <c r="AC80" s="42"/>
      <c r="AD80" s="42">
        <f>8000000-8000000</f>
        <v>0</v>
      </c>
      <c r="AE80" s="43">
        <f t="shared" si="32"/>
        <v>0.60218080022936693</v>
      </c>
      <c r="AF80" s="42">
        <f t="shared" si="43"/>
        <v>180909198</v>
      </c>
      <c r="AG80" s="42"/>
      <c r="AH80" s="42"/>
      <c r="AI80" s="42"/>
      <c r="AJ80" s="42"/>
      <c r="AK80" s="42"/>
      <c r="AL80" s="42"/>
      <c r="AM80" s="42"/>
      <c r="AN80" s="42">
        <f>+'[3]NOVIEMBRE 2019'!$Q$3599</f>
        <v>48942867</v>
      </c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>
        <f>+'[3]NOVIEMBRE 2019'!$AB$3599</f>
        <v>131966331</v>
      </c>
      <c r="AZ80" s="42"/>
      <c r="BA80" s="42"/>
      <c r="BB80" s="42"/>
      <c r="BC80" s="42"/>
      <c r="BD80" s="43">
        <f t="shared" si="60"/>
        <v>0.39781919977063307</v>
      </c>
      <c r="BE80" s="42">
        <f t="shared" si="44"/>
        <v>119514193</v>
      </c>
      <c r="BF80" s="42">
        <f t="shared" si="45"/>
        <v>0</v>
      </c>
      <c r="BG80" s="42">
        <f t="shared" si="45"/>
        <v>0</v>
      </c>
      <c r="BH80" s="42">
        <f t="shared" si="45"/>
        <v>0</v>
      </c>
      <c r="BI80" s="42">
        <f t="shared" si="46"/>
        <v>0</v>
      </c>
      <c r="BJ80" s="42">
        <f t="shared" si="66"/>
        <v>0</v>
      </c>
      <c r="BK80" s="42">
        <f t="shared" si="66"/>
        <v>0</v>
      </c>
      <c r="BL80" s="42">
        <f t="shared" si="66"/>
        <v>0</v>
      </c>
      <c r="BM80" s="42">
        <f t="shared" si="66"/>
        <v>1057133</v>
      </c>
      <c r="BN80" s="42">
        <f t="shared" si="66"/>
        <v>0</v>
      </c>
      <c r="BO80" s="42">
        <f t="shared" si="66"/>
        <v>0</v>
      </c>
      <c r="BP80" s="42">
        <f t="shared" si="66"/>
        <v>0</v>
      </c>
      <c r="BQ80" s="42">
        <f t="shared" si="66"/>
        <v>0</v>
      </c>
      <c r="BR80" s="42">
        <f t="shared" si="66"/>
        <v>0</v>
      </c>
      <c r="BS80" s="42">
        <f t="shared" si="66"/>
        <v>0</v>
      </c>
      <c r="BT80" s="42">
        <f t="shared" si="66"/>
        <v>0</v>
      </c>
      <c r="BU80" s="42">
        <f t="shared" si="66"/>
        <v>0</v>
      </c>
      <c r="BV80" s="42">
        <f t="shared" si="66"/>
        <v>0</v>
      </c>
      <c r="BW80" s="42">
        <f t="shared" si="66"/>
        <v>0</v>
      </c>
      <c r="BX80" s="42">
        <f t="shared" si="66"/>
        <v>118457060</v>
      </c>
      <c r="BY80" s="42">
        <f t="shared" si="56"/>
        <v>0</v>
      </c>
      <c r="BZ80" s="42">
        <f t="shared" si="48"/>
        <v>0</v>
      </c>
      <c r="CA80" s="42"/>
      <c r="CB80" s="42">
        <f t="shared" si="49"/>
        <v>0</v>
      </c>
      <c r="CC80" s="43">
        <f t="shared" si="61"/>
        <v>0.44983959654459793</v>
      </c>
      <c r="CD80" s="42">
        <f t="shared" si="50"/>
        <v>135142337</v>
      </c>
      <c r="CE80" s="42"/>
      <c r="CF80" s="42"/>
      <c r="CG80" s="42"/>
      <c r="CH80" s="42"/>
      <c r="CI80" s="42"/>
      <c r="CJ80" s="42"/>
      <c r="CK80" s="42"/>
      <c r="CL80" s="42">
        <f>+'[1]OCTUBRE 2019'!$I$3195+'[1]OCTUBRE 2019'!$H$3196+'[1]OCTUBRE 2019'!$H$3202+'[1]OCTUBRE 2019'!$H$3237</f>
        <v>45823827</v>
      </c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>
        <f>+'[1]OCTUBRE 2019'!$H$3178-CL80</f>
        <v>89318510</v>
      </c>
      <c r="CX80" s="42"/>
      <c r="CY80" s="42"/>
      <c r="CZ80" s="42"/>
      <c r="DA80" s="42"/>
      <c r="DB80" s="43">
        <f t="shared" si="62"/>
        <v>0.55016040345540207</v>
      </c>
      <c r="DC80" s="42">
        <f t="shared" si="51"/>
        <v>165281054</v>
      </c>
      <c r="DD80" s="42">
        <f t="shared" si="67"/>
        <v>0</v>
      </c>
      <c r="DE80" s="42">
        <f t="shared" si="67"/>
        <v>0</v>
      </c>
      <c r="DF80" s="42">
        <f t="shared" si="67"/>
        <v>0</v>
      </c>
      <c r="DG80" s="42">
        <f t="shared" si="67"/>
        <v>0</v>
      </c>
      <c r="DH80" s="42">
        <f t="shared" si="67"/>
        <v>0</v>
      </c>
      <c r="DI80" s="42">
        <f t="shared" si="67"/>
        <v>0</v>
      </c>
      <c r="DJ80" s="42">
        <f t="shared" si="67"/>
        <v>0</v>
      </c>
      <c r="DK80" s="42">
        <f t="shared" si="67"/>
        <v>4176173</v>
      </c>
      <c r="DL80" s="42">
        <f t="shared" si="67"/>
        <v>0</v>
      </c>
      <c r="DM80" s="42">
        <f t="shared" si="67"/>
        <v>0</v>
      </c>
      <c r="DN80" s="42">
        <f t="shared" si="67"/>
        <v>0</v>
      </c>
      <c r="DO80" s="42">
        <f t="shared" si="67"/>
        <v>0</v>
      </c>
      <c r="DP80" s="42">
        <f t="shared" si="67"/>
        <v>0</v>
      </c>
      <c r="DQ80" s="42">
        <f t="shared" si="67"/>
        <v>0</v>
      </c>
      <c r="DR80" s="42">
        <f t="shared" si="67"/>
        <v>0</v>
      </c>
      <c r="DS80" s="42">
        <f t="shared" si="57"/>
        <v>0</v>
      </c>
      <c r="DT80" s="42">
        <f t="shared" si="53"/>
        <v>0</v>
      </c>
      <c r="DU80" s="42">
        <f t="shared" si="53"/>
        <v>0</v>
      </c>
      <c r="DV80" s="42">
        <f t="shared" si="53"/>
        <v>161104881</v>
      </c>
      <c r="DW80" s="42">
        <f t="shared" si="53"/>
        <v>0</v>
      </c>
      <c r="DX80" s="42">
        <f t="shared" si="53"/>
        <v>0</v>
      </c>
      <c r="DY80" s="42"/>
      <c r="DZ80" s="42">
        <f t="shared" si="54"/>
        <v>0</v>
      </c>
      <c r="EA80" s="73"/>
      <c r="EB80" s="47">
        <f t="shared" si="63"/>
        <v>300423391</v>
      </c>
      <c r="EC80" s="47">
        <f t="shared" si="64"/>
        <v>300423391</v>
      </c>
      <c r="ED80" s="47">
        <f t="shared" si="65"/>
        <v>300423391</v>
      </c>
      <c r="EJ80" s="74">
        <f t="shared" si="55"/>
        <v>135142337</v>
      </c>
      <c r="EK80" s="241"/>
    </row>
    <row r="81" spans="1:141" s="73" customFormat="1" ht="17.25" customHeight="1" thickTop="1" thickBot="1" x14ac:dyDescent="0.35">
      <c r="A81" s="89"/>
      <c r="B81" s="230" t="s">
        <v>235</v>
      </c>
      <c r="C81" s="231"/>
      <c r="D81" s="231"/>
      <c r="E81" s="232"/>
      <c r="F81" s="91"/>
      <c r="G81" s="92">
        <f t="shared" ref="G81:AD81" si="68">SUM(G41:G80)</f>
        <v>9091266497</v>
      </c>
      <c r="H81" s="92">
        <f t="shared" si="68"/>
        <v>0</v>
      </c>
      <c r="I81" s="92">
        <f t="shared" si="68"/>
        <v>0</v>
      </c>
      <c r="J81" s="92">
        <f t="shared" si="68"/>
        <v>0</v>
      </c>
      <c r="K81" s="92">
        <f t="shared" si="68"/>
        <v>0</v>
      </c>
      <c r="L81" s="92">
        <f t="shared" si="68"/>
        <v>0</v>
      </c>
      <c r="M81" s="92">
        <f t="shared" si="68"/>
        <v>0</v>
      </c>
      <c r="N81" s="92">
        <f t="shared" si="68"/>
        <v>0</v>
      </c>
      <c r="O81" s="92">
        <f t="shared" si="68"/>
        <v>2419061682</v>
      </c>
      <c r="P81" s="92">
        <f t="shared" si="68"/>
        <v>45960534</v>
      </c>
      <c r="Q81" s="92">
        <f t="shared" si="68"/>
        <v>45960534</v>
      </c>
      <c r="R81" s="92">
        <f t="shared" si="68"/>
        <v>85960534</v>
      </c>
      <c r="S81" s="92">
        <f t="shared" si="68"/>
        <v>797458202</v>
      </c>
      <c r="T81" s="92">
        <f t="shared" si="68"/>
        <v>30000000</v>
      </c>
      <c r="U81" s="92">
        <f t="shared" si="68"/>
        <v>60000000</v>
      </c>
      <c r="V81" s="92">
        <f t="shared" si="68"/>
        <v>20000000</v>
      </c>
      <c r="W81" s="92">
        <f t="shared" si="68"/>
        <v>3457651561</v>
      </c>
      <c r="X81" s="92">
        <f t="shared" si="68"/>
        <v>90000000</v>
      </c>
      <c r="Y81" s="92">
        <f t="shared" si="68"/>
        <v>52565530</v>
      </c>
      <c r="Z81" s="92">
        <f t="shared" si="68"/>
        <v>1116053744</v>
      </c>
      <c r="AA81" s="92">
        <f t="shared" si="68"/>
        <v>0</v>
      </c>
      <c r="AB81" s="92">
        <f t="shared" si="68"/>
        <v>453752865</v>
      </c>
      <c r="AC81" s="92">
        <f t="shared" si="68"/>
        <v>0</v>
      </c>
      <c r="AD81" s="92">
        <f t="shared" si="68"/>
        <v>416841311</v>
      </c>
      <c r="AE81" s="71">
        <f t="shared" si="32"/>
        <v>0.68088187064394667</v>
      </c>
      <c r="AF81" s="92">
        <f>SUM(AF41:AF80)</f>
        <v>6190078539</v>
      </c>
      <c r="AG81" s="92">
        <f>SUM(AG41:AG80)</f>
        <v>0</v>
      </c>
      <c r="AH81" s="92">
        <f>SUM(AH41:AH80)</f>
        <v>0</v>
      </c>
      <c r="AI81" s="92">
        <f>SUM(AI41:AI80)</f>
        <v>0</v>
      </c>
      <c r="AJ81" s="92"/>
      <c r="AK81" s="92">
        <f t="shared" ref="AK81:BC81" si="69">SUM(AK41:AK80)</f>
        <v>0</v>
      </c>
      <c r="AL81" s="92">
        <f t="shared" si="69"/>
        <v>0</v>
      </c>
      <c r="AM81" s="92">
        <f t="shared" si="69"/>
        <v>0</v>
      </c>
      <c r="AN81" s="92">
        <f t="shared" si="69"/>
        <v>2092840355</v>
      </c>
      <c r="AO81" s="92">
        <f t="shared" si="69"/>
        <v>3200000</v>
      </c>
      <c r="AP81" s="92">
        <f t="shared" si="69"/>
        <v>22983702</v>
      </c>
      <c r="AQ81" s="92">
        <f t="shared" si="69"/>
        <v>7005939</v>
      </c>
      <c r="AR81" s="92">
        <f t="shared" si="69"/>
        <v>751646051</v>
      </c>
      <c r="AS81" s="92">
        <f t="shared" si="69"/>
        <v>2114681</v>
      </c>
      <c r="AT81" s="92">
        <f t="shared" si="69"/>
        <v>10477239</v>
      </c>
      <c r="AU81" s="92">
        <f t="shared" si="69"/>
        <v>2768519</v>
      </c>
      <c r="AV81" s="92">
        <f t="shared" si="69"/>
        <v>1778728458</v>
      </c>
      <c r="AW81" s="92">
        <f t="shared" si="69"/>
        <v>90000000</v>
      </c>
      <c r="AX81" s="92">
        <f t="shared" si="69"/>
        <v>46996115</v>
      </c>
      <c r="AY81" s="92">
        <f t="shared" si="69"/>
        <v>819963485</v>
      </c>
      <c r="AZ81" s="92">
        <f t="shared" si="69"/>
        <v>0</v>
      </c>
      <c r="BA81" s="92">
        <f t="shared" si="69"/>
        <v>285623667</v>
      </c>
      <c r="BB81" s="92">
        <f t="shared" si="69"/>
        <v>0</v>
      </c>
      <c r="BC81" s="92">
        <f t="shared" si="69"/>
        <v>275730328</v>
      </c>
      <c r="BD81" s="71">
        <f t="shared" si="60"/>
        <v>0.31911812935605333</v>
      </c>
      <c r="BE81" s="92">
        <f t="shared" ref="BE81:CB81" si="70">SUM(BE41:BE80)</f>
        <v>2901187958</v>
      </c>
      <c r="BF81" s="92">
        <f t="shared" si="70"/>
        <v>0</v>
      </c>
      <c r="BG81" s="92">
        <f t="shared" si="70"/>
        <v>0</v>
      </c>
      <c r="BH81" s="92">
        <f t="shared" si="70"/>
        <v>0</v>
      </c>
      <c r="BI81" s="92">
        <f t="shared" si="70"/>
        <v>0</v>
      </c>
      <c r="BJ81" s="92">
        <f t="shared" si="70"/>
        <v>0</v>
      </c>
      <c r="BK81" s="92">
        <f t="shared" si="70"/>
        <v>0</v>
      </c>
      <c r="BL81" s="92">
        <f t="shared" si="70"/>
        <v>0</v>
      </c>
      <c r="BM81" s="92">
        <f t="shared" si="70"/>
        <v>326221327</v>
      </c>
      <c r="BN81" s="92">
        <f t="shared" si="70"/>
        <v>42760534</v>
      </c>
      <c r="BO81" s="92">
        <f t="shared" si="70"/>
        <v>22976832</v>
      </c>
      <c r="BP81" s="92">
        <f t="shared" si="70"/>
        <v>78954595</v>
      </c>
      <c r="BQ81" s="92">
        <f t="shared" si="70"/>
        <v>45812151</v>
      </c>
      <c r="BR81" s="92">
        <f t="shared" si="70"/>
        <v>27885319</v>
      </c>
      <c r="BS81" s="92">
        <f t="shared" si="70"/>
        <v>49522761</v>
      </c>
      <c r="BT81" s="92">
        <f t="shared" si="70"/>
        <v>17231481</v>
      </c>
      <c r="BU81" s="92">
        <f t="shared" si="70"/>
        <v>1678923103</v>
      </c>
      <c r="BV81" s="92">
        <f t="shared" si="70"/>
        <v>0</v>
      </c>
      <c r="BW81" s="92">
        <f t="shared" si="70"/>
        <v>5569415</v>
      </c>
      <c r="BX81" s="92">
        <f t="shared" si="70"/>
        <v>296090259</v>
      </c>
      <c r="BY81" s="92">
        <f t="shared" si="70"/>
        <v>0</v>
      </c>
      <c r="BZ81" s="92">
        <f t="shared" si="70"/>
        <v>168129198</v>
      </c>
      <c r="CA81" s="92">
        <f t="shared" si="70"/>
        <v>0</v>
      </c>
      <c r="CB81" s="92">
        <f t="shared" si="70"/>
        <v>141110983</v>
      </c>
      <c r="CC81" s="71">
        <f t="shared" si="61"/>
        <v>0.48614241409141701</v>
      </c>
      <c r="CD81" s="92">
        <f>SUM(CD41:CD80)</f>
        <v>4419650242</v>
      </c>
      <c r="CE81" s="92">
        <f>SUM(CE41:CE80)</f>
        <v>0</v>
      </c>
      <c r="CF81" s="92">
        <f>SUM(CF41:CF80)</f>
        <v>0</v>
      </c>
      <c r="CG81" s="92">
        <f>SUM(CG41:CG80)</f>
        <v>0</v>
      </c>
      <c r="CH81" s="92"/>
      <c r="CI81" s="92">
        <f t="shared" ref="CI81:DA81" si="71">SUM(CI41:CI80)</f>
        <v>0</v>
      </c>
      <c r="CJ81" s="92">
        <f t="shared" si="71"/>
        <v>0</v>
      </c>
      <c r="CK81" s="92">
        <f t="shared" si="71"/>
        <v>0</v>
      </c>
      <c r="CL81" s="92">
        <f t="shared" si="71"/>
        <v>1586639467</v>
      </c>
      <c r="CM81" s="92">
        <f t="shared" si="71"/>
        <v>3200000</v>
      </c>
      <c r="CN81" s="92">
        <f t="shared" si="71"/>
        <v>22983702</v>
      </c>
      <c r="CO81" s="92">
        <f t="shared" si="71"/>
        <v>4865259</v>
      </c>
      <c r="CP81" s="92">
        <f t="shared" si="71"/>
        <v>580180670</v>
      </c>
      <c r="CQ81" s="92">
        <f t="shared" si="71"/>
        <v>2114681</v>
      </c>
      <c r="CR81" s="92">
        <f t="shared" si="71"/>
        <v>10252686</v>
      </c>
      <c r="CS81" s="92">
        <f t="shared" si="71"/>
        <v>2768519</v>
      </c>
      <c r="CT81" s="92">
        <f t="shared" si="71"/>
        <v>1078397268</v>
      </c>
      <c r="CU81" s="92">
        <f t="shared" si="71"/>
        <v>80031559</v>
      </c>
      <c r="CV81" s="92">
        <f t="shared" si="71"/>
        <v>15663110</v>
      </c>
      <c r="CW81" s="92">
        <f t="shared" si="71"/>
        <v>608628848</v>
      </c>
      <c r="CX81" s="92">
        <f t="shared" si="71"/>
        <v>0</v>
      </c>
      <c r="CY81" s="92">
        <f t="shared" si="71"/>
        <v>225553524</v>
      </c>
      <c r="CZ81" s="92">
        <f t="shared" si="71"/>
        <v>0</v>
      </c>
      <c r="DA81" s="92">
        <f t="shared" si="71"/>
        <v>198370949</v>
      </c>
      <c r="DB81" s="93">
        <f t="shared" si="62"/>
        <v>0.51385758590858299</v>
      </c>
      <c r="DC81" s="92">
        <f>SUM(DC41:DC80)</f>
        <v>4671616255</v>
      </c>
      <c r="DD81" s="92">
        <f>SUM(DD41:DD80)</f>
        <v>0</v>
      </c>
      <c r="DE81" s="92">
        <f>SUM(DE41:DE80)</f>
        <v>0</v>
      </c>
      <c r="DF81" s="92">
        <f>SUM(DF41:DF80)</f>
        <v>0</v>
      </c>
      <c r="DG81" s="92"/>
      <c r="DH81" s="92">
        <f t="shared" ref="DH81:DZ81" si="72">SUM(DH41:DH80)</f>
        <v>0</v>
      </c>
      <c r="DI81" s="92">
        <f t="shared" si="72"/>
        <v>0</v>
      </c>
      <c r="DJ81" s="92">
        <f t="shared" si="72"/>
        <v>0</v>
      </c>
      <c r="DK81" s="92">
        <f t="shared" si="72"/>
        <v>832422215</v>
      </c>
      <c r="DL81" s="92">
        <f t="shared" si="72"/>
        <v>42760534</v>
      </c>
      <c r="DM81" s="92">
        <f t="shared" si="72"/>
        <v>22976832</v>
      </c>
      <c r="DN81" s="92">
        <f t="shared" si="72"/>
        <v>81095275</v>
      </c>
      <c r="DO81" s="92">
        <f t="shared" si="72"/>
        <v>217277532</v>
      </c>
      <c r="DP81" s="92">
        <f t="shared" si="72"/>
        <v>27885319</v>
      </c>
      <c r="DQ81" s="92">
        <f t="shared" si="72"/>
        <v>49747314</v>
      </c>
      <c r="DR81" s="92">
        <f t="shared" si="72"/>
        <v>17231481</v>
      </c>
      <c r="DS81" s="92">
        <f t="shared" si="72"/>
        <v>2379254293</v>
      </c>
      <c r="DT81" s="92">
        <f t="shared" si="72"/>
        <v>9968441</v>
      </c>
      <c r="DU81" s="92">
        <f t="shared" si="72"/>
        <v>36902420</v>
      </c>
      <c r="DV81" s="92">
        <f t="shared" si="72"/>
        <v>507424896</v>
      </c>
      <c r="DW81" s="92">
        <f t="shared" si="72"/>
        <v>0</v>
      </c>
      <c r="DX81" s="92">
        <f t="shared" si="72"/>
        <v>228199341</v>
      </c>
      <c r="DY81" s="92">
        <f t="shared" si="72"/>
        <v>0</v>
      </c>
      <c r="DZ81" s="92">
        <f t="shared" si="72"/>
        <v>218470362</v>
      </c>
      <c r="EB81" s="47">
        <f t="shared" si="63"/>
        <v>9091266497</v>
      </c>
      <c r="EC81" s="47">
        <f t="shared" si="64"/>
        <v>9091266497</v>
      </c>
      <c r="ED81" s="47">
        <f t="shared" si="65"/>
        <v>9091266497</v>
      </c>
      <c r="EH81" s="237" t="s">
        <v>415</v>
      </c>
      <c r="EI81" s="74">
        <f>+G81</f>
        <v>9091266497</v>
      </c>
      <c r="EJ81" s="74">
        <f t="shared" si="55"/>
        <v>4419650242</v>
      </c>
      <c r="EK81" s="241">
        <v>0.48609999999999998</v>
      </c>
    </row>
    <row r="82" spans="1:141" ht="55.8" hidden="1" customHeight="1" thickTop="1" x14ac:dyDescent="0.3">
      <c r="A82" s="94" t="s">
        <v>236</v>
      </c>
      <c r="B82" s="95" t="s">
        <v>237</v>
      </c>
      <c r="C82" s="96" t="s">
        <v>238</v>
      </c>
      <c r="D82" s="97" t="s">
        <v>239</v>
      </c>
      <c r="E82" s="98">
        <v>520</v>
      </c>
      <c r="F82" s="99" t="s">
        <v>240</v>
      </c>
      <c r="G82" s="42">
        <f t="shared" ref="G82:G104" si="73">SUM(H82:AD82)</f>
        <v>305584229</v>
      </c>
      <c r="H82" s="42"/>
      <c r="I82" s="42">
        <v>150000000</v>
      </c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>
        <f>93493921+30000000+10000000+18000000+8180737-4090429</f>
        <v>155584229</v>
      </c>
      <c r="AE82" s="76">
        <f t="shared" si="32"/>
        <v>0.78296534079315983</v>
      </c>
      <c r="AF82" s="77">
        <f t="shared" ref="AF82:AF104" si="74">SUM(AG82:BC82)</f>
        <v>239261860</v>
      </c>
      <c r="AG82" s="77"/>
      <c r="AH82" s="77">
        <f>+'[3]NOVIEMBRE 2019'!$K$4588</f>
        <v>116064225</v>
      </c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>
        <f>+'[3]NOVIEMBRE 2019'!$AG$4588</f>
        <v>123197635</v>
      </c>
      <c r="BD82" s="76">
        <f t="shared" si="60"/>
        <v>0.21703465920684017</v>
      </c>
      <c r="BE82" s="42">
        <f t="shared" ref="BE82:BE104" si="75">SUM(BF82:CB82)</f>
        <v>66322369</v>
      </c>
      <c r="BF82" s="42">
        <f t="shared" ref="BF82:BH101" si="76">H82-AG82</f>
        <v>0</v>
      </c>
      <c r="BG82" s="42">
        <f t="shared" si="76"/>
        <v>33935775</v>
      </c>
      <c r="BH82" s="42">
        <f t="shared" si="76"/>
        <v>0</v>
      </c>
      <c r="BI82" s="42">
        <f t="shared" ref="BI82:BI104" si="77">+K82-AJ82</f>
        <v>0</v>
      </c>
      <c r="BJ82" s="42">
        <f t="shared" ref="BJ82:BY97" si="78">L82-AK82</f>
        <v>0</v>
      </c>
      <c r="BK82" s="42">
        <f t="shared" si="78"/>
        <v>0</v>
      </c>
      <c r="BL82" s="42">
        <f t="shared" si="78"/>
        <v>0</v>
      </c>
      <c r="BM82" s="42">
        <f t="shared" si="78"/>
        <v>0</v>
      </c>
      <c r="BN82" s="42">
        <f t="shared" si="78"/>
        <v>0</v>
      </c>
      <c r="BO82" s="42">
        <f t="shared" si="78"/>
        <v>0</v>
      </c>
      <c r="BP82" s="42">
        <f t="shared" si="78"/>
        <v>0</v>
      </c>
      <c r="BQ82" s="42">
        <f t="shared" si="78"/>
        <v>0</v>
      </c>
      <c r="BR82" s="42">
        <f t="shared" si="78"/>
        <v>0</v>
      </c>
      <c r="BS82" s="42">
        <f t="shared" si="78"/>
        <v>0</v>
      </c>
      <c r="BT82" s="42">
        <f t="shared" si="78"/>
        <v>0</v>
      </c>
      <c r="BU82" s="42">
        <f t="shared" si="78"/>
        <v>0</v>
      </c>
      <c r="BV82" s="42">
        <f t="shared" si="78"/>
        <v>0</v>
      </c>
      <c r="BW82" s="42">
        <f t="shared" si="78"/>
        <v>0</v>
      </c>
      <c r="BX82" s="42">
        <f t="shared" si="78"/>
        <v>0</v>
      </c>
      <c r="BY82" s="42">
        <f t="shared" si="78"/>
        <v>0</v>
      </c>
      <c r="BZ82" s="42">
        <f t="shared" ref="BZ82:BZ101" si="79">AB82-BA82</f>
        <v>0</v>
      </c>
      <c r="CA82" s="42"/>
      <c r="CB82" s="42">
        <f t="shared" ref="CB82:CB101" si="80">AD82-BC82</f>
        <v>32386594</v>
      </c>
      <c r="CC82" s="76">
        <f t="shared" si="61"/>
        <v>0.67837617366045422</v>
      </c>
      <c r="CD82" s="42">
        <f t="shared" ref="CD82:CD104" si="81">SUM(CE82:DA82)</f>
        <v>207301060</v>
      </c>
      <c r="CE82" s="42"/>
      <c r="CF82" s="42">
        <f>+'[3]NOVIEMBRE 2019'!$H$4599+'[3]NOVIEMBRE 2019'!$H$4603+'[3]NOVIEMBRE 2019'!$H$4615+'[3]NOVIEMBRE 2019'!$H$4619+'[3]NOVIEMBRE 2019'!$H$4622+'[3]NOVIEMBRE 2019'!$H$4623+'[3]NOVIEMBRE 2019'!$H$4624+'[3]NOVIEMBRE 2019'!$H$4625+'[3]NOVIEMBRE 2019'!$H$4628+'[3]NOVIEMBRE 2019'!$H$4631+'[3]NOVIEMBRE 2019'!$H$4635+'[3]NOVIEMBRE 2019'!$H$4640+'[3]NOVIEMBRE 2019'!$H$4641+'[3]NOVIEMBRE 2019'!$H$4643+'[3]NOVIEMBRE 2019'!$H$4644+'[3]NOVIEMBRE 2019'!$H$4645+'[3]NOVIEMBRE 2019'!$H$4646+'[3]NOVIEMBRE 2019'!$H$4647+'[3]NOVIEMBRE 2019'!$H$4649+'[3]NOVIEMBRE 2019'!$H$4650+'[3]NOVIEMBRE 2019'!$H$4651+'[3]NOVIEMBRE 2019'!$H$4652+'[3]NOVIEMBRE 2019'!$H$4653+'[3]NOVIEMBRE 2019'!$H$4654+'[3]NOVIEMBRE 2019'!$H$4656+'[3]NOVIEMBRE 2019'!$H$4670+'[3]NOVIEMBRE 2019'!$H$4671+'[3]NOVIEMBRE 2019'!$H$4673+'[3]NOVIEMBRE 2019'!$H$4674+'[3]NOVIEMBRE 2019'!$H$4675+'[3]NOVIEMBRE 2019'!$H$4676+'[3]NOVIEMBRE 2019'!$H$4677+'[3]NOVIEMBRE 2019'!$H$4678+'[3]NOVIEMBRE 2019'!$H$4680+'[3]NOVIEMBRE 2019'!$H$4681+'[3]NOVIEMBRE 2019'!$H$4682+'[3]NOVIEMBRE 2019'!$H$4684+'[3]NOVIEMBRE 2019'!$H$4685+'[3]NOVIEMBRE 2019'!$H$4686+'[3]NOVIEMBRE 2019'!$H$4688+'[3]NOVIEMBRE 2019'!$H$4690+'[3]NOVIEMBRE 2019'!$H$4691+'[3]NOVIEMBRE 2019'!$H$4692+'[3]NOVIEMBRE 2019'!$H$4693+'[3]NOVIEMBRE 2019'!$H$4694+'[3]NOVIEMBRE 2019'!$H$4703+'[3]NOVIEMBRE 2019'!$H$4722+'[3]NOVIEMBRE 2019'!$H$4723+'[3]NOVIEMBRE 2019'!$H$4724+'[3]NOVIEMBRE 2019'!$H$4727+'[3]NOVIEMBRE 2019'!$H$4729+'[3]NOVIEMBRE 2019'!$H$4732+'[3]NOVIEMBRE 2019'!$H$4738+'[3]NOVIEMBRE 2019'!$H$4739+'[3]NOVIEMBRE 2019'!$H$4741+'[3]NOVIEMBRE 2019'!$H$4742+'[3]NOVIEMBRE 2019'!$H$4745</f>
        <v>113464225</v>
      </c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>
        <f>+'[3]NOVIEMBRE 2019'!$H$4586-CF82</f>
        <v>93836835</v>
      </c>
      <c r="DB82" s="43">
        <f t="shared" si="62"/>
        <v>0.32162382633954578</v>
      </c>
      <c r="DC82" s="42">
        <f t="shared" ref="DC82:DC121" si="82">SUM(DD82:DZ82)</f>
        <v>98283169</v>
      </c>
      <c r="DD82" s="42">
        <f t="shared" ref="DD82:DE104" si="83">H82-CE82</f>
        <v>0</v>
      </c>
      <c r="DE82" s="42">
        <f t="shared" si="83"/>
        <v>36535775</v>
      </c>
      <c r="DF82" s="42"/>
      <c r="DG82" s="42">
        <f t="shared" ref="DG82:DV97" si="84">K82-CH82</f>
        <v>0</v>
      </c>
      <c r="DH82" s="42">
        <f t="shared" si="84"/>
        <v>0</v>
      </c>
      <c r="DI82" s="42">
        <f t="shared" si="84"/>
        <v>0</v>
      </c>
      <c r="DJ82" s="42">
        <f t="shared" si="84"/>
        <v>0</v>
      </c>
      <c r="DK82" s="42">
        <f t="shared" si="84"/>
        <v>0</v>
      </c>
      <c r="DL82" s="42">
        <f t="shared" si="84"/>
        <v>0</v>
      </c>
      <c r="DM82" s="42">
        <f t="shared" si="84"/>
        <v>0</v>
      </c>
      <c r="DN82" s="42">
        <f t="shared" si="84"/>
        <v>0</v>
      </c>
      <c r="DO82" s="42">
        <f t="shared" si="84"/>
        <v>0</v>
      </c>
      <c r="DP82" s="42">
        <f t="shared" si="84"/>
        <v>0</v>
      </c>
      <c r="DQ82" s="42">
        <f t="shared" si="84"/>
        <v>0</v>
      </c>
      <c r="DR82" s="42">
        <f t="shared" si="84"/>
        <v>0</v>
      </c>
      <c r="DS82" s="42">
        <f t="shared" si="84"/>
        <v>0</v>
      </c>
      <c r="DT82" s="42">
        <f t="shared" si="84"/>
        <v>0</v>
      </c>
      <c r="DU82" s="42">
        <f t="shared" si="84"/>
        <v>0</v>
      </c>
      <c r="DV82" s="42">
        <f t="shared" si="84"/>
        <v>0</v>
      </c>
      <c r="DW82" s="42">
        <f t="shared" ref="DW82:DX104" si="85">AA82-CX82</f>
        <v>0</v>
      </c>
      <c r="DX82" s="42">
        <f t="shared" si="85"/>
        <v>0</v>
      </c>
      <c r="DY82" s="42"/>
      <c r="DZ82" s="42">
        <f t="shared" ref="DZ82:DZ104" si="86">AD82-DA82</f>
        <v>61747394</v>
      </c>
      <c r="EB82" s="47">
        <f t="shared" si="63"/>
        <v>305584229</v>
      </c>
      <c r="EC82" s="47">
        <f t="shared" si="64"/>
        <v>305584229</v>
      </c>
      <c r="ED82" s="47">
        <f t="shared" si="65"/>
        <v>305584229</v>
      </c>
      <c r="EF82" s="47"/>
      <c r="EI82" s="74">
        <f t="shared" ref="EI82:EI143" si="87">+G82</f>
        <v>305584229</v>
      </c>
      <c r="EJ82" s="74">
        <f t="shared" si="55"/>
        <v>207301060</v>
      </c>
      <c r="EK82" s="241"/>
    </row>
    <row r="83" spans="1:141" ht="72.599999999999994" hidden="1" customHeight="1" x14ac:dyDescent="0.3">
      <c r="A83" s="100"/>
      <c r="B83" s="95"/>
      <c r="C83" s="55" t="s">
        <v>241</v>
      </c>
      <c r="D83" s="50" t="s">
        <v>242</v>
      </c>
      <c r="E83" s="40">
        <v>520</v>
      </c>
      <c r="F83" s="41" t="s">
        <v>139</v>
      </c>
      <c r="G83" s="42">
        <f t="shared" si="73"/>
        <v>20000000</v>
      </c>
      <c r="H83" s="42"/>
      <c r="I83" s="42">
        <v>20000000</v>
      </c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3">
        <f t="shared" si="32"/>
        <v>0.57620000000000005</v>
      </c>
      <c r="AF83" s="42">
        <f t="shared" si="74"/>
        <v>11524000</v>
      </c>
      <c r="AG83" s="42"/>
      <c r="AH83" s="42">
        <f>+'[3]NOVIEMBRE 2019'!$K$4752</f>
        <v>11524000</v>
      </c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3">
        <f t="shared" si="60"/>
        <v>0.42379999999999995</v>
      </c>
      <c r="BE83" s="42">
        <f t="shared" si="75"/>
        <v>8476000</v>
      </c>
      <c r="BF83" s="42">
        <f t="shared" si="76"/>
        <v>0</v>
      </c>
      <c r="BG83" s="42">
        <f t="shared" si="76"/>
        <v>8476000</v>
      </c>
      <c r="BH83" s="42">
        <f t="shared" si="76"/>
        <v>0</v>
      </c>
      <c r="BI83" s="42">
        <f t="shared" si="77"/>
        <v>0</v>
      </c>
      <c r="BJ83" s="42">
        <f t="shared" si="78"/>
        <v>0</v>
      </c>
      <c r="BK83" s="42">
        <f t="shared" si="78"/>
        <v>0</v>
      </c>
      <c r="BL83" s="42">
        <f t="shared" si="78"/>
        <v>0</v>
      </c>
      <c r="BM83" s="42">
        <f t="shared" si="78"/>
        <v>0</v>
      </c>
      <c r="BN83" s="42">
        <f t="shared" si="78"/>
        <v>0</v>
      </c>
      <c r="BO83" s="42">
        <f t="shared" si="78"/>
        <v>0</v>
      </c>
      <c r="BP83" s="42">
        <f t="shared" si="78"/>
        <v>0</v>
      </c>
      <c r="BQ83" s="42">
        <f t="shared" si="78"/>
        <v>0</v>
      </c>
      <c r="BR83" s="42">
        <f t="shared" si="78"/>
        <v>0</v>
      </c>
      <c r="BS83" s="42">
        <f t="shared" si="78"/>
        <v>0</v>
      </c>
      <c r="BT83" s="42">
        <f t="shared" si="78"/>
        <v>0</v>
      </c>
      <c r="BU83" s="42">
        <f t="shared" si="78"/>
        <v>0</v>
      </c>
      <c r="BV83" s="42">
        <f t="shared" si="78"/>
        <v>0</v>
      </c>
      <c r="BW83" s="42">
        <f t="shared" si="78"/>
        <v>0</v>
      </c>
      <c r="BX83" s="42">
        <f t="shared" si="78"/>
        <v>0</v>
      </c>
      <c r="BY83" s="42">
        <f t="shared" si="78"/>
        <v>0</v>
      </c>
      <c r="BZ83" s="42">
        <f t="shared" si="79"/>
        <v>0</v>
      </c>
      <c r="CA83" s="42"/>
      <c r="CB83" s="42">
        <f t="shared" si="80"/>
        <v>0</v>
      </c>
      <c r="CC83" s="43">
        <f t="shared" si="61"/>
        <v>0.48625000000000002</v>
      </c>
      <c r="CD83" s="42">
        <f t="shared" si="81"/>
        <v>9725000</v>
      </c>
      <c r="CE83" s="42"/>
      <c r="CF83" s="42">
        <f>+'[3]NOVIEMBRE 2019'!$H$4750</f>
        <v>9725000</v>
      </c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3">
        <f t="shared" si="62"/>
        <v>0.51374999999999993</v>
      </c>
      <c r="DC83" s="42">
        <f t="shared" si="82"/>
        <v>10275000</v>
      </c>
      <c r="DD83" s="42">
        <f t="shared" si="83"/>
        <v>0</v>
      </c>
      <c r="DE83" s="42">
        <f t="shared" si="83"/>
        <v>10275000</v>
      </c>
      <c r="DF83" s="42"/>
      <c r="DG83" s="42">
        <f t="shared" si="84"/>
        <v>0</v>
      </c>
      <c r="DH83" s="42">
        <f t="shared" si="84"/>
        <v>0</v>
      </c>
      <c r="DI83" s="42">
        <f t="shared" si="84"/>
        <v>0</v>
      </c>
      <c r="DJ83" s="42">
        <f t="shared" si="84"/>
        <v>0</v>
      </c>
      <c r="DK83" s="42">
        <f t="shared" si="84"/>
        <v>0</v>
      </c>
      <c r="DL83" s="42">
        <f t="shared" si="84"/>
        <v>0</v>
      </c>
      <c r="DM83" s="42">
        <f t="shared" si="84"/>
        <v>0</v>
      </c>
      <c r="DN83" s="42">
        <f t="shared" si="84"/>
        <v>0</v>
      </c>
      <c r="DO83" s="42">
        <f t="shared" si="84"/>
        <v>0</v>
      </c>
      <c r="DP83" s="42">
        <f t="shared" si="84"/>
        <v>0</v>
      </c>
      <c r="DQ83" s="42">
        <f t="shared" si="84"/>
        <v>0</v>
      </c>
      <c r="DR83" s="42">
        <f t="shared" si="84"/>
        <v>0</v>
      </c>
      <c r="DS83" s="42">
        <f t="shared" si="84"/>
        <v>0</v>
      </c>
      <c r="DT83" s="42">
        <f t="shared" si="84"/>
        <v>0</v>
      </c>
      <c r="DU83" s="42">
        <f t="shared" si="84"/>
        <v>0</v>
      </c>
      <c r="DV83" s="42">
        <f t="shared" si="84"/>
        <v>0</v>
      </c>
      <c r="DW83" s="42">
        <f t="shared" si="85"/>
        <v>0</v>
      </c>
      <c r="DX83" s="42">
        <f t="shared" si="85"/>
        <v>0</v>
      </c>
      <c r="DY83" s="42"/>
      <c r="DZ83" s="42">
        <f t="shared" si="86"/>
        <v>0</v>
      </c>
      <c r="EB83" s="47">
        <f t="shared" si="63"/>
        <v>20000000</v>
      </c>
      <c r="EC83" s="47">
        <f t="shared" si="64"/>
        <v>20000000</v>
      </c>
      <c r="ED83" s="47">
        <f t="shared" si="65"/>
        <v>20000000</v>
      </c>
      <c r="EI83" s="74">
        <f t="shared" si="87"/>
        <v>20000000</v>
      </c>
      <c r="EJ83" s="74">
        <f t="shared" si="55"/>
        <v>9725000</v>
      </c>
      <c r="EK83" s="241"/>
    </row>
    <row r="84" spans="1:141" ht="46.2" hidden="1" customHeight="1" x14ac:dyDescent="0.3">
      <c r="A84" s="100"/>
      <c r="B84" s="101"/>
      <c r="C84" s="55" t="s">
        <v>243</v>
      </c>
      <c r="D84" s="39" t="s">
        <v>244</v>
      </c>
      <c r="E84" s="40">
        <v>520</v>
      </c>
      <c r="F84" s="41" t="s">
        <v>245</v>
      </c>
      <c r="G84" s="42">
        <f t="shared" si="73"/>
        <v>50000000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>
        <v>20000000</v>
      </c>
      <c r="AA84" s="42"/>
      <c r="AB84" s="42"/>
      <c r="AC84" s="42"/>
      <c r="AD84" s="42">
        <f>24000000+4000000+2000000</f>
        <v>30000000</v>
      </c>
      <c r="AE84" s="43">
        <f t="shared" si="32"/>
        <v>0.88865665999999999</v>
      </c>
      <c r="AF84" s="42">
        <f t="shared" si="74"/>
        <v>44432833</v>
      </c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>
        <f>+'[8]AGOSTO 2019'!$AA$3331</f>
        <v>20000000</v>
      </c>
      <c r="AZ84" s="42"/>
      <c r="BA84" s="42"/>
      <c r="BB84" s="42"/>
      <c r="BC84" s="42">
        <f>+'[1]OCTUBRE 2019'!$AG$4307</f>
        <v>24432833</v>
      </c>
      <c r="BD84" s="43">
        <f t="shared" si="60"/>
        <v>0.11134334000000001</v>
      </c>
      <c r="BE84" s="42">
        <f t="shared" si="75"/>
        <v>5567167</v>
      </c>
      <c r="BF84" s="42">
        <f t="shared" si="76"/>
        <v>0</v>
      </c>
      <c r="BG84" s="42">
        <f t="shared" si="76"/>
        <v>0</v>
      </c>
      <c r="BH84" s="42">
        <f t="shared" si="76"/>
        <v>0</v>
      </c>
      <c r="BI84" s="42">
        <f t="shared" si="77"/>
        <v>0</v>
      </c>
      <c r="BJ84" s="42">
        <f t="shared" si="78"/>
        <v>0</v>
      </c>
      <c r="BK84" s="42">
        <f t="shared" si="78"/>
        <v>0</v>
      </c>
      <c r="BL84" s="42">
        <f t="shared" si="78"/>
        <v>0</v>
      </c>
      <c r="BM84" s="42">
        <f t="shared" si="78"/>
        <v>0</v>
      </c>
      <c r="BN84" s="42">
        <f t="shared" si="78"/>
        <v>0</v>
      </c>
      <c r="BO84" s="42">
        <f t="shared" si="78"/>
        <v>0</v>
      </c>
      <c r="BP84" s="42">
        <f t="shared" si="78"/>
        <v>0</v>
      </c>
      <c r="BQ84" s="42">
        <f t="shared" si="78"/>
        <v>0</v>
      </c>
      <c r="BR84" s="42">
        <f t="shared" si="78"/>
        <v>0</v>
      </c>
      <c r="BS84" s="42">
        <f t="shared" si="78"/>
        <v>0</v>
      </c>
      <c r="BT84" s="42">
        <f t="shared" si="78"/>
        <v>0</v>
      </c>
      <c r="BU84" s="42">
        <f t="shared" si="78"/>
        <v>0</v>
      </c>
      <c r="BV84" s="42">
        <f t="shared" si="78"/>
        <v>0</v>
      </c>
      <c r="BW84" s="42">
        <f t="shared" si="78"/>
        <v>0</v>
      </c>
      <c r="BX84" s="42">
        <f t="shared" si="78"/>
        <v>0</v>
      </c>
      <c r="BY84" s="42">
        <f t="shared" si="78"/>
        <v>0</v>
      </c>
      <c r="BZ84" s="42">
        <f t="shared" si="79"/>
        <v>0</v>
      </c>
      <c r="CA84" s="42"/>
      <c r="CB84" s="42">
        <f t="shared" si="80"/>
        <v>5567167</v>
      </c>
      <c r="CC84" s="43">
        <f t="shared" si="61"/>
        <v>0.88667636000000005</v>
      </c>
      <c r="CD84" s="42">
        <f t="shared" si="81"/>
        <v>44333818</v>
      </c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>
        <f>+'[3]NOVIEMBRE 2019'!$H$4788</f>
        <v>20000000</v>
      </c>
      <c r="CX84" s="42"/>
      <c r="CY84" s="42"/>
      <c r="CZ84" s="42"/>
      <c r="DA84" s="42">
        <f>+'[3]NOVIEMBRE 2019'!$H$4768+'[3]NOVIEMBRE 2019'!$H$4769+'[3]NOVIEMBRE 2019'!$H$4770+'[3]NOVIEMBRE 2019'!$H$4771+'[3]NOVIEMBRE 2019'!$H$4772+'[3]NOVIEMBRE 2019'!$H$4773+'[3]NOVIEMBRE 2019'!$H$4774+'[3]NOVIEMBRE 2019'!$H$4775+'[3]NOVIEMBRE 2019'!$H$4776+'[3]NOVIEMBRE 2019'!$H$4777+'[3]NOVIEMBRE 2019'!$H$4778+'[3]NOVIEMBRE 2019'!$H$4779+'[3]NOVIEMBRE 2019'!$H$4780+'[3]NOVIEMBRE 2019'!$H$4781+'[3]NOVIEMBRE 2019'!$H$4782+'[3]NOVIEMBRE 2019'!$H$4783+'[3]NOVIEMBRE 2019'!$H$4786+'[3]NOVIEMBRE 2019'!$H$4787+'[3]NOVIEMBRE 2019'!$H$4790+'[3]NOVIEMBRE 2019'!$H$4791+'[3]NOVIEMBRE 2019'!$H$4792+'[3]NOVIEMBRE 2019'!$H$4793+'[3]NOVIEMBRE 2019'!$H$4794</f>
        <v>24333818</v>
      </c>
      <c r="DB84" s="43">
        <f t="shared" si="62"/>
        <v>0.11332363999999995</v>
      </c>
      <c r="DC84" s="42">
        <f t="shared" si="82"/>
        <v>5666182</v>
      </c>
      <c r="DD84" s="42">
        <f t="shared" si="83"/>
        <v>0</v>
      </c>
      <c r="DE84" s="42">
        <f t="shared" si="83"/>
        <v>0</v>
      </c>
      <c r="DF84" s="42"/>
      <c r="DG84" s="42">
        <f t="shared" si="84"/>
        <v>0</v>
      </c>
      <c r="DH84" s="42">
        <f t="shared" si="84"/>
        <v>0</v>
      </c>
      <c r="DI84" s="42">
        <f t="shared" si="84"/>
        <v>0</v>
      </c>
      <c r="DJ84" s="42">
        <f t="shared" si="84"/>
        <v>0</v>
      </c>
      <c r="DK84" s="42">
        <f t="shared" si="84"/>
        <v>0</v>
      </c>
      <c r="DL84" s="42">
        <f t="shared" si="84"/>
        <v>0</v>
      </c>
      <c r="DM84" s="42">
        <f t="shared" si="84"/>
        <v>0</v>
      </c>
      <c r="DN84" s="42">
        <f t="shared" si="84"/>
        <v>0</v>
      </c>
      <c r="DO84" s="42">
        <f t="shared" si="84"/>
        <v>0</v>
      </c>
      <c r="DP84" s="42">
        <f t="shared" si="84"/>
        <v>0</v>
      </c>
      <c r="DQ84" s="42">
        <f t="shared" si="84"/>
        <v>0</v>
      </c>
      <c r="DR84" s="42">
        <f t="shared" si="84"/>
        <v>0</v>
      </c>
      <c r="DS84" s="42">
        <f t="shared" si="84"/>
        <v>0</v>
      </c>
      <c r="DT84" s="42">
        <f t="shared" si="84"/>
        <v>0</v>
      </c>
      <c r="DU84" s="42">
        <f t="shared" si="84"/>
        <v>0</v>
      </c>
      <c r="DV84" s="42">
        <f t="shared" si="84"/>
        <v>0</v>
      </c>
      <c r="DW84" s="42">
        <f t="shared" si="85"/>
        <v>0</v>
      </c>
      <c r="DX84" s="42">
        <f t="shared" si="85"/>
        <v>0</v>
      </c>
      <c r="DY84" s="42"/>
      <c r="DZ84" s="42">
        <f t="shared" si="86"/>
        <v>5666182</v>
      </c>
      <c r="EB84" s="47">
        <f t="shared" si="63"/>
        <v>50000000</v>
      </c>
      <c r="EC84" s="47">
        <f t="shared" si="64"/>
        <v>50000000</v>
      </c>
      <c r="ED84" s="47">
        <f t="shared" si="65"/>
        <v>50000000</v>
      </c>
      <c r="EI84" s="74">
        <f t="shared" si="87"/>
        <v>50000000</v>
      </c>
      <c r="EJ84" s="74">
        <f t="shared" si="55"/>
        <v>44333818</v>
      </c>
      <c r="EK84" s="241"/>
    </row>
    <row r="85" spans="1:141" ht="19.8" hidden="1" customHeight="1" x14ac:dyDescent="0.3">
      <c r="A85" s="100"/>
      <c r="B85" s="102"/>
      <c r="C85" s="55" t="s">
        <v>246</v>
      </c>
      <c r="D85" s="39" t="s">
        <v>247</v>
      </c>
      <c r="E85" s="40">
        <v>520</v>
      </c>
      <c r="F85" s="41" t="s">
        <v>139</v>
      </c>
      <c r="G85" s="42">
        <f t="shared" si="73"/>
        <v>15000000</v>
      </c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>
        <v>15000000</v>
      </c>
      <c r="Y85" s="42"/>
      <c r="Z85" s="42"/>
      <c r="AA85" s="42"/>
      <c r="AB85" s="42"/>
      <c r="AC85" s="42"/>
      <c r="AD85" s="42"/>
      <c r="AE85" s="43"/>
      <c r="AF85" s="42">
        <f t="shared" si="74"/>
        <v>11685805</v>
      </c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>
        <f>+'[3]NOVIEMBRE 2019'!$Z$4801</f>
        <v>11685805</v>
      </c>
      <c r="AX85" s="42"/>
      <c r="AY85" s="42"/>
      <c r="AZ85" s="42"/>
      <c r="BA85" s="42"/>
      <c r="BB85" s="42"/>
      <c r="BC85" s="42"/>
      <c r="BD85" s="43">
        <f t="shared" si="60"/>
        <v>1</v>
      </c>
      <c r="BE85" s="42">
        <f t="shared" si="75"/>
        <v>3314195</v>
      </c>
      <c r="BF85" s="42">
        <f t="shared" si="76"/>
        <v>0</v>
      </c>
      <c r="BG85" s="42">
        <f t="shared" si="76"/>
        <v>0</v>
      </c>
      <c r="BH85" s="42">
        <f t="shared" si="76"/>
        <v>0</v>
      </c>
      <c r="BI85" s="42">
        <f t="shared" si="77"/>
        <v>0</v>
      </c>
      <c r="BJ85" s="42">
        <f t="shared" si="78"/>
        <v>0</v>
      </c>
      <c r="BK85" s="42">
        <f t="shared" si="78"/>
        <v>0</v>
      </c>
      <c r="BL85" s="42">
        <f t="shared" si="78"/>
        <v>0</v>
      </c>
      <c r="BM85" s="42">
        <f t="shared" si="78"/>
        <v>0</v>
      </c>
      <c r="BN85" s="42">
        <f t="shared" si="78"/>
        <v>0</v>
      </c>
      <c r="BO85" s="42">
        <f t="shared" si="78"/>
        <v>0</v>
      </c>
      <c r="BP85" s="42">
        <f t="shared" si="78"/>
        <v>0</v>
      </c>
      <c r="BQ85" s="42">
        <f t="shared" si="78"/>
        <v>0</v>
      </c>
      <c r="BR85" s="42">
        <f t="shared" si="78"/>
        <v>0</v>
      </c>
      <c r="BS85" s="42">
        <f t="shared" si="78"/>
        <v>0</v>
      </c>
      <c r="BT85" s="42">
        <f t="shared" si="78"/>
        <v>0</v>
      </c>
      <c r="BU85" s="42">
        <f t="shared" si="78"/>
        <v>0</v>
      </c>
      <c r="BV85" s="42">
        <f t="shared" si="78"/>
        <v>3314195</v>
      </c>
      <c r="BW85" s="42">
        <f t="shared" si="78"/>
        <v>0</v>
      </c>
      <c r="BX85" s="42">
        <f t="shared" si="78"/>
        <v>0</v>
      </c>
      <c r="BY85" s="42">
        <f t="shared" si="78"/>
        <v>0</v>
      </c>
      <c r="BZ85" s="42">
        <f t="shared" si="79"/>
        <v>0</v>
      </c>
      <c r="CA85" s="42"/>
      <c r="CB85" s="42">
        <f t="shared" si="80"/>
        <v>0</v>
      </c>
      <c r="CC85" s="43">
        <f t="shared" si="61"/>
        <v>3.4116666666666666E-3</v>
      </c>
      <c r="CD85" s="42">
        <f t="shared" si="81"/>
        <v>51175</v>
      </c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>
        <f>+'[3]NOVIEMBRE 2019'!$H$4799</f>
        <v>51175</v>
      </c>
      <c r="CV85" s="42"/>
      <c r="CW85" s="42"/>
      <c r="CX85" s="42"/>
      <c r="CY85" s="42"/>
      <c r="CZ85" s="42"/>
      <c r="DA85" s="42"/>
      <c r="DB85" s="43">
        <f t="shared" si="62"/>
        <v>0.9965883333333333</v>
      </c>
      <c r="DC85" s="42">
        <f t="shared" si="82"/>
        <v>14948825</v>
      </c>
      <c r="DD85" s="42">
        <f t="shared" si="83"/>
        <v>0</v>
      </c>
      <c r="DE85" s="42">
        <f t="shared" si="83"/>
        <v>0</v>
      </c>
      <c r="DF85" s="42"/>
      <c r="DG85" s="42">
        <f t="shared" si="84"/>
        <v>0</v>
      </c>
      <c r="DH85" s="42">
        <f t="shared" si="84"/>
        <v>0</v>
      </c>
      <c r="DI85" s="42">
        <f t="shared" si="84"/>
        <v>0</v>
      </c>
      <c r="DJ85" s="42">
        <f t="shared" si="84"/>
        <v>0</v>
      </c>
      <c r="DK85" s="42">
        <f t="shared" si="84"/>
        <v>0</v>
      </c>
      <c r="DL85" s="42">
        <f t="shared" si="84"/>
        <v>0</v>
      </c>
      <c r="DM85" s="42">
        <f t="shared" si="84"/>
        <v>0</v>
      </c>
      <c r="DN85" s="42">
        <f t="shared" si="84"/>
        <v>0</v>
      </c>
      <c r="DO85" s="42">
        <f t="shared" si="84"/>
        <v>0</v>
      </c>
      <c r="DP85" s="42">
        <f t="shared" si="84"/>
        <v>0</v>
      </c>
      <c r="DQ85" s="42">
        <f t="shared" si="84"/>
        <v>0</v>
      </c>
      <c r="DR85" s="42">
        <f t="shared" si="84"/>
        <v>0</v>
      </c>
      <c r="DS85" s="42">
        <f t="shared" si="84"/>
        <v>0</v>
      </c>
      <c r="DT85" s="42">
        <f t="shared" si="84"/>
        <v>14948825</v>
      </c>
      <c r="DU85" s="42">
        <f t="shared" si="84"/>
        <v>0</v>
      </c>
      <c r="DV85" s="42">
        <f t="shared" si="84"/>
        <v>0</v>
      </c>
      <c r="DW85" s="42">
        <f t="shared" si="85"/>
        <v>0</v>
      </c>
      <c r="DX85" s="42">
        <f t="shared" si="85"/>
        <v>0</v>
      </c>
      <c r="DY85" s="42"/>
      <c r="DZ85" s="42">
        <f t="shared" si="86"/>
        <v>0</v>
      </c>
      <c r="EB85" s="47">
        <f t="shared" si="63"/>
        <v>15000000</v>
      </c>
      <c r="EC85" s="47">
        <f t="shared" si="64"/>
        <v>15000000</v>
      </c>
      <c r="ED85" s="47">
        <f t="shared" si="65"/>
        <v>15000000</v>
      </c>
      <c r="EI85" s="74">
        <f t="shared" si="87"/>
        <v>15000000</v>
      </c>
      <c r="EJ85" s="74">
        <f t="shared" si="55"/>
        <v>51175</v>
      </c>
      <c r="EK85" s="241"/>
    </row>
    <row r="86" spans="1:141" ht="47.25" hidden="1" customHeight="1" x14ac:dyDescent="0.3">
      <c r="A86" s="100"/>
      <c r="B86" s="102"/>
      <c r="C86" s="55" t="s">
        <v>248</v>
      </c>
      <c r="D86" s="39" t="s">
        <v>249</v>
      </c>
      <c r="E86" s="40">
        <v>520</v>
      </c>
      <c r="F86" s="41" t="s">
        <v>139</v>
      </c>
      <c r="G86" s="42">
        <f t="shared" si="73"/>
        <v>15000000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>
        <v>15000000</v>
      </c>
      <c r="Y86" s="42"/>
      <c r="Z86" s="42"/>
      <c r="AA86" s="42"/>
      <c r="AB86" s="42"/>
      <c r="AC86" s="42"/>
      <c r="AD86" s="42"/>
      <c r="AE86" s="43"/>
      <c r="AF86" s="42">
        <f t="shared" si="74"/>
        <v>15000000</v>
      </c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>
        <f>+'[3]NOVIEMBRE 2019'!$Z$4809</f>
        <v>15000000</v>
      </c>
      <c r="AX86" s="42"/>
      <c r="AY86" s="42"/>
      <c r="AZ86" s="42"/>
      <c r="BA86" s="42"/>
      <c r="BB86" s="42"/>
      <c r="BC86" s="42"/>
      <c r="BD86" s="43">
        <f t="shared" si="60"/>
        <v>1</v>
      </c>
      <c r="BE86" s="42">
        <f t="shared" si="75"/>
        <v>0</v>
      </c>
      <c r="BF86" s="42">
        <f t="shared" si="76"/>
        <v>0</v>
      </c>
      <c r="BG86" s="42">
        <f t="shared" si="76"/>
        <v>0</v>
      </c>
      <c r="BH86" s="42">
        <f t="shared" si="76"/>
        <v>0</v>
      </c>
      <c r="BI86" s="42">
        <f t="shared" si="77"/>
        <v>0</v>
      </c>
      <c r="BJ86" s="42">
        <f t="shared" si="78"/>
        <v>0</v>
      </c>
      <c r="BK86" s="42">
        <f t="shared" si="78"/>
        <v>0</v>
      </c>
      <c r="BL86" s="42">
        <f t="shared" si="78"/>
        <v>0</v>
      </c>
      <c r="BM86" s="42">
        <f t="shared" si="78"/>
        <v>0</v>
      </c>
      <c r="BN86" s="42">
        <f t="shared" si="78"/>
        <v>0</v>
      </c>
      <c r="BO86" s="42">
        <f t="shared" si="78"/>
        <v>0</v>
      </c>
      <c r="BP86" s="42">
        <f t="shared" si="78"/>
        <v>0</v>
      </c>
      <c r="BQ86" s="42">
        <f t="shared" si="78"/>
        <v>0</v>
      </c>
      <c r="BR86" s="42">
        <f t="shared" si="78"/>
        <v>0</v>
      </c>
      <c r="BS86" s="42">
        <f t="shared" si="78"/>
        <v>0</v>
      </c>
      <c r="BT86" s="42">
        <f t="shared" si="78"/>
        <v>0</v>
      </c>
      <c r="BU86" s="42">
        <f t="shared" si="78"/>
        <v>0</v>
      </c>
      <c r="BV86" s="42">
        <f t="shared" si="78"/>
        <v>0</v>
      </c>
      <c r="BW86" s="42">
        <f t="shared" si="78"/>
        <v>0</v>
      </c>
      <c r="BX86" s="42">
        <f t="shared" si="78"/>
        <v>0</v>
      </c>
      <c r="BY86" s="42">
        <f t="shared" si="78"/>
        <v>0</v>
      </c>
      <c r="BZ86" s="42">
        <f t="shared" si="79"/>
        <v>0</v>
      </c>
      <c r="CA86" s="42"/>
      <c r="CB86" s="42">
        <f t="shared" si="80"/>
        <v>0</v>
      </c>
      <c r="CC86" s="43">
        <f t="shared" si="61"/>
        <v>0.42380666666666666</v>
      </c>
      <c r="CD86" s="42">
        <f t="shared" si="81"/>
        <v>6357100</v>
      </c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>
        <f>+'[3]NOVIEMBRE 2019'!$H$4807</f>
        <v>6357100</v>
      </c>
      <c r="CV86" s="42"/>
      <c r="CW86" s="42"/>
      <c r="CX86" s="42"/>
      <c r="CY86" s="42"/>
      <c r="CZ86" s="42"/>
      <c r="DA86" s="42"/>
      <c r="DB86" s="43">
        <f t="shared" si="62"/>
        <v>0.57619333333333334</v>
      </c>
      <c r="DC86" s="42">
        <f t="shared" si="82"/>
        <v>8642900</v>
      </c>
      <c r="DD86" s="42">
        <f t="shared" si="83"/>
        <v>0</v>
      </c>
      <c r="DE86" s="42">
        <f t="shared" si="83"/>
        <v>0</v>
      </c>
      <c r="DF86" s="42"/>
      <c r="DG86" s="42">
        <f t="shared" si="84"/>
        <v>0</v>
      </c>
      <c r="DH86" s="42">
        <f t="shared" si="84"/>
        <v>0</v>
      </c>
      <c r="DI86" s="42">
        <f t="shared" si="84"/>
        <v>0</v>
      </c>
      <c r="DJ86" s="42">
        <f t="shared" si="84"/>
        <v>0</v>
      </c>
      <c r="DK86" s="42">
        <f t="shared" si="84"/>
        <v>0</v>
      </c>
      <c r="DL86" s="42">
        <f t="shared" si="84"/>
        <v>0</v>
      </c>
      <c r="DM86" s="42">
        <f t="shared" si="84"/>
        <v>0</v>
      </c>
      <c r="DN86" s="42">
        <f t="shared" si="84"/>
        <v>0</v>
      </c>
      <c r="DO86" s="42">
        <f t="shared" si="84"/>
        <v>0</v>
      </c>
      <c r="DP86" s="42">
        <f t="shared" si="84"/>
        <v>0</v>
      </c>
      <c r="DQ86" s="42">
        <f t="shared" si="84"/>
        <v>0</v>
      </c>
      <c r="DR86" s="42">
        <f t="shared" si="84"/>
        <v>0</v>
      </c>
      <c r="DS86" s="42">
        <f t="shared" si="84"/>
        <v>0</v>
      </c>
      <c r="DT86" s="42">
        <f t="shared" si="84"/>
        <v>8642900</v>
      </c>
      <c r="DU86" s="42">
        <f t="shared" si="84"/>
        <v>0</v>
      </c>
      <c r="DV86" s="42">
        <f t="shared" si="84"/>
        <v>0</v>
      </c>
      <c r="DW86" s="42">
        <f t="shared" si="85"/>
        <v>0</v>
      </c>
      <c r="DX86" s="42">
        <f t="shared" si="85"/>
        <v>0</v>
      </c>
      <c r="DY86" s="42"/>
      <c r="DZ86" s="42">
        <f t="shared" si="86"/>
        <v>0</v>
      </c>
      <c r="EB86" s="47">
        <f t="shared" si="63"/>
        <v>15000000</v>
      </c>
      <c r="EC86" s="47">
        <f t="shared" si="64"/>
        <v>15000000</v>
      </c>
      <c r="ED86" s="47">
        <f t="shared" si="65"/>
        <v>15000000</v>
      </c>
      <c r="EI86" s="74">
        <f t="shared" si="87"/>
        <v>15000000</v>
      </c>
      <c r="EJ86" s="74">
        <f t="shared" si="55"/>
        <v>6357100</v>
      </c>
      <c r="EK86" s="241"/>
    </row>
    <row r="87" spans="1:141" ht="31.2" hidden="1" customHeight="1" x14ac:dyDescent="0.3">
      <c r="A87" s="100"/>
      <c r="B87" s="103" t="s">
        <v>250</v>
      </c>
      <c r="C87" s="55" t="s">
        <v>251</v>
      </c>
      <c r="D87" s="39" t="s">
        <v>252</v>
      </c>
      <c r="E87" s="40">
        <v>520</v>
      </c>
      <c r="F87" s="41" t="s">
        <v>139</v>
      </c>
      <c r="G87" s="42">
        <f t="shared" si="73"/>
        <v>100000000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>
        <v>60000000</v>
      </c>
      <c r="Y87" s="42"/>
      <c r="Z87" s="42">
        <v>40000000</v>
      </c>
      <c r="AA87" s="42"/>
      <c r="AB87" s="42"/>
      <c r="AC87" s="42"/>
      <c r="AD87" s="42"/>
      <c r="AE87" s="43">
        <f t="shared" ref="AE87:AE143" si="88">+AF87/G87</f>
        <v>0.99890199999999996</v>
      </c>
      <c r="AF87" s="42">
        <f t="shared" si="74"/>
        <v>99890200</v>
      </c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>
        <f>+'[1]OCTUBRE 2019'!$H$4350-AY87</f>
        <v>60000000</v>
      </c>
      <c r="AX87" s="42"/>
      <c r="AY87" s="42">
        <f>+'[1]OCTUBRE 2019'!$H$4402+'[1]OCTUBRE 2019'!$H$4421</f>
        <v>39890200</v>
      </c>
      <c r="AZ87" s="42"/>
      <c r="BA87" s="42"/>
      <c r="BB87" s="42"/>
      <c r="BC87" s="42"/>
      <c r="BD87" s="43">
        <f t="shared" si="60"/>
        <v>1.0980000000000434E-3</v>
      </c>
      <c r="BE87" s="42">
        <f t="shared" si="75"/>
        <v>109800</v>
      </c>
      <c r="BF87" s="42">
        <f t="shared" si="76"/>
        <v>0</v>
      </c>
      <c r="BG87" s="42">
        <f t="shared" si="76"/>
        <v>0</v>
      </c>
      <c r="BH87" s="42">
        <f t="shared" si="76"/>
        <v>0</v>
      </c>
      <c r="BI87" s="42">
        <f t="shared" si="77"/>
        <v>0</v>
      </c>
      <c r="BJ87" s="42">
        <f t="shared" si="78"/>
        <v>0</v>
      </c>
      <c r="BK87" s="42">
        <f t="shared" si="78"/>
        <v>0</v>
      </c>
      <c r="BL87" s="42">
        <f t="shared" si="78"/>
        <v>0</v>
      </c>
      <c r="BM87" s="42">
        <f t="shared" si="78"/>
        <v>0</v>
      </c>
      <c r="BN87" s="42">
        <f t="shared" si="78"/>
        <v>0</v>
      </c>
      <c r="BO87" s="42">
        <f t="shared" si="78"/>
        <v>0</v>
      </c>
      <c r="BP87" s="42">
        <f t="shared" si="78"/>
        <v>0</v>
      </c>
      <c r="BQ87" s="42">
        <f t="shared" si="78"/>
        <v>0</v>
      </c>
      <c r="BR87" s="42">
        <f t="shared" si="78"/>
        <v>0</v>
      </c>
      <c r="BS87" s="42">
        <f t="shared" si="78"/>
        <v>0</v>
      </c>
      <c r="BT87" s="42">
        <f t="shared" si="78"/>
        <v>0</v>
      </c>
      <c r="BU87" s="42">
        <f t="shared" si="78"/>
        <v>0</v>
      </c>
      <c r="BV87" s="42">
        <f t="shared" si="78"/>
        <v>0</v>
      </c>
      <c r="BW87" s="42">
        <f t="shared" si="78"/>
        <v>0</v>
      </c>
      <c r="BX87" s="42">
        <f t="shared" si="78"/>
        <v>109800</v>
      </c>
      <c r="BY87" s="42">
        <f t="shared" si="78"/>
        <v>0</v>
      </c>
      <c r="BZ87" s="42">
        <f t="shared" si="79"/>
        <v>0</v>
      </c>
      <c r="CA87" s="42"/>
      <c r="CB87" s="42">
        <f t="shared" si="80"/>
        <v>0</v>
      </c>
      <c r="CC87" s="43">
        <f t="shared" si="61"/>
        <v>0.99890199999999996</v>
      </c>
      <c r="CD87" s="42">
        <f t="shared" si="81"/>
        <v>99890200</v>
      </c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>
        <f>+'[1]OCTUBRE 2019'!$H$4350-CW87</f>
        <v>60000000</v>
      </c>
      <c r="CV87" s="42"/>
      <c r="CW87" s="42">
        <f>+'[1]OCTUBRE 2019'!$H$4402+'[1]OCTUBRE 2019'!$H$4421</f>
        <v>39890200</v>
      </c>
      <c r="CX87" s="42"/>
      <c r="CY87" s="42"/>
      <c r="CZ87" s="42"/>
      <c r="DA87" s="42"/>
      <c r="DB87" s="43">
        <f t="shared" si="62"/>
        <v>1.0980000000000434E-3</v>
      </c>
      <c r="DC87" s="42">
        <f t="shared" si="82"/>
        <v>109800</v>
      </c>
      <c r="DD87" s="42">
        <f t="shared" si="83"/>
        <v>0</v>
      </c>
      <c r="DE87" s="42">
        <f t="shared" si="83"/>
        <v>0</v>
      </c>
      <c r="DF87" s="42"/>
      <c r="DG87" s="42">
        <f t="shared" si="84"/>
        <v>0</v>
      </c>
      <c r="DH87" s="42">
        <f t="shared" si="84"/>
        <v>0</v>
      </c>
      <c r="DI87" s="42">
        <f t="shared" si="84"/>
        <v>0</v>
      </c>
      <c r="DJ87" s="42">
        <f t="shared" si="84"/>
        <v>0</v>
      </c>
      <c r="DK87" s="42">
        <f t="shared" si="84"/>
        <v>0</v>
      </c>
      <c r="DL87" s="42">
        <f t="shared" si="84"/>
        <v>0</v>
      </c>
      <c r="DM87" s="42">
        <f t="shared" si="84"/>
        <v>0</v>
      </c>
      <c r="DN87" s="42">
        <f t="shared" si="84"/>
        <v>0</v>
      </c>
      <c r="DO87" s="42">
        <f t="shared" si="84"/>
        <v>0</v>
      </c>
      <c r="DP87" s="42">
        <f t="shared" si="84"/>
        <v>0</v>
      </c>
      <c r="DQ87" s="42">
        <f t="shared" si="84"/>
        <v>0</v>
      </c>
      <c r="DR87" s="42">
        <f t="shared" si="84"/>
        <v>0</v>
      </c>
      <c r="DS87" s="42">
        <f t="shared" si="84"/>
        <v>0</v>
      </c>
      <c r="DT87" s="42">
        <f t="shared" si="84"/>
        <v>0</v>
      </c>
      <c r="DU87" s="42">
        <f t="shared" si="84"/>
        <v>0</v>
      </c>
      <c r="DV87" s="42">
        <f t="shared" si="84"/>
        <v>109800</v>
      </c>
      <c r="DW87" s="42">
        <f t="shared" si="85"/>
        <v>0</v>
      </c>
      <c r="DX87" s="42">
        <f t="shared" si="85"/>
        <v>0</v>
      </c>
      <c r="DY87" s="42"/>
      <c r="DZ87" s="42">
        <f t="shared" si="86"/>
        <v>0</v>
      </c>
      <c r="EB87" s="47">
        <f t="shared" si="63"/>
        <v>100000000</v>
      </c>
      <c r="EC87" s="47">
        <f t="shared" si="64"/>
        <v>100000000</v>
      </c>
      <c r="ED87" s="47">
        <f t="shared" si="65"/>
        <v>100000000</v>
      </c>
      <c r="EI87" s="74">
        <f t="shared" si="87"/>
        <v>100000000</v>
      </c>
      <c r="EJ87" s="74">
        <f t="shared" si="55"/>
        <v>99890200</v>
      </c>
      <c r="EK87" s="241"/>
    </row>
    <row r="88" spans="1:141" ht="44.4" hidden="1" customHeight="1" x14ac:dyDescent="0.3">
      <c r="A88" s="100"/>
      <c r="B88" s="104" t="s">
        <v>253</v>
      </c>
      <c r="C88" s="55" t="s">
        <v>254</v>
      </c>
      <c r="D88" s="39" t="s">
        <v>255</v>
      </c>
      <c r="E88" s="40">
        <v>520</v>
      </c>
      <c r="F88" s="41" t="s">
        <v>139</v>
      </c>
      <c r="G88" s="42">
        <f t="shared" si="73"/>
        <v>150000000</v>
      </c>
      <c r="H88" s="58"/>
      <c r="I88" s="42"/>
      <c r="J88" s="42"/>
      <c r="K88" s="42"/>
      <c r="L88" s="58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>
        <v>150000000</v>
      </c>
      <c r="Y88" s="42"/>
      <c r="Z88" s="42"/>
      <c r="AA88" s="42"/>
      <c r="AB88" s="42"/>
      <c r="AC88" s="42"/>
      <c r="AD88" s="42"/>
      <c r="AE88" s="43">
        <f t="shared" si="88"/>
        <v>0.93525399333333337</v>
      </c>
      <c r="AF88" s="42">
        <f t="shared" si="74"/>
        <v>140288099</v>
      </c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>
        <f>+'[3]NOVIEMBRE 2019'!$Z$4898</f>
        <v>140288099</v>
      </c>
      <c r="AX88" s="42"/>
      <c r="AY88" s="42"/>
      <c r="AZ88" s="42"/>
      <c r="BA88" s="42"/>
      <c r="BB88" s="42"/>
      <c r="BC88" s="42"/>
      <c r="BD88" s="43">
        <f t="shared" si="60"/>
        <v>6.4746006666666633E-2</v>
      </c>
      <c r="BE88" s="42">
        <f t="shared" si="75"/>
        <v>9711901</v>
      </c>
      <c r="BF88" s="42">
        <f t="shared" si="76"/>
        <v>0</v>
      </c>
      <c r="BG88" s="42">
        <f t="shared" si="76"/>
        <v>0</v>
      </c>
      <c r="BH88" s="42">
        <f t="shared" si="76"/>
        <v>0</v>
      </c>
      <c r="BI88" s="42">
        <f t="shared" si="77"/>
        <v>0</v>
      </c>
      <c r="BJ88" s="42">
        <f t="shared" si="78"/>
        <v>0</v>
      </c>
      <c r="BK88" s="42">
        <f t="shared" si="78"/>
        <v>0</v>
      </c>
      <c r="BL88" s="42">
        <f t="shared" si="78"/>
        <v>0</v>
      </c>
      <c r="BM88" s="42">
        <f t="shared" si="78"/>
        <v>0</v>
      </c>
      <c r="BN88" s="42">
        <f t="shared" si="78"/>
        <v>0</v>
      </c>
      <c r="BO88" s="42">
        <f t="shared" si="78"/>
        <v>0</v>
      </c>
      <c r="BP88" s="42">
        <f t="shared" si="78"/>
        <v>0</v>
      </c>
      <c r="BQ88" s="42">
        <f t="shared" si="78"/>
        <v>0</v>
      </c>
      <c r="BR88" s="42">
        <f t="shared" si="78"/>
        <v>0</v>
      </c>
      <c r="BS88" s="42">
        <f t="shared" si="78"/>
        <v>0</v>
      </c>
      <c r="BT88" s="42">
        <f t="shared" si="78"/>
        <v>0</v>
      </c>
      <c r="BU88" s="42">
        <f t="shared" si="78"/>
        <v>0</v>
      </c>
      <c r="BV88" s="42">
        <f t="shared" si="78"/>
        <v>9711901</v>
      </c>
      <c r="BW88" s="42">
        <f t="shared" si="78"/>
        <v>0</v>
      </c>
      <c r="BX88" s="42">
        <f t="shared" si="78"/>
        <v>0</v>
      </c>
      <c r="BY88" s="42">
        <f t="shared" si="78"/>
        <v>0</v>
      </c>
      <c r="BZ88" s="42">
        <f t="shared" si="79"/>
        <v>0</v>
      </c>
      <c r="CA88" s="42"/>
      <c r="CB88" s="42">
        <f t="shared" si="80"/>
        <v>0</v>
      </c>
      <c r="CC88" s="43">
        <f t="shared" si="61"/>
        <v>0.89171909999999999</v>
      </c>
      <c r="CD88" s="42">
        <f t="shared" si="81"/>
        <v>133757865</v>
      </c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>
        <f>+'[3]NOVIEMBRE 2019'!$H$4896</f>
        <v>133757865</v>
      </c>
      <c r="CV88" s="42"/>
      <c r="CW88" s="42"/>
      <c r="CX88" s="42"/>
      <c r="CY88" s="42"/>
      <c r="CZ88" s="42"/>
      <c r="DA88" s="42"/>
      <c r="DB88" s="43">
        <f t="shared" si="62"/>
        <v>0.10828090000000001</v>
      </c>
      <c r="DC88" s="42">
        <f t="shared" si="82"/>
        <v>16242135</v>
      </c>
      <c r="DD88" s="42">
        <f t="shared" si="83"/>
        <v>0</v>
      </c>
      <c r="DE88" s="42">
        <f t="shared" si="83"/>
        <v>0</v>
      </c>
      <c r="DF88" s="42"/>
      <c r="DG88" s="42">
        <f t="shared" si="84"/>
        <v>0</v>
      </c>
      <c r="DH88" s="42">
        <f t="shared" si="84"/>
        <v>0</v>
      </c>
      <c r="DI88" s="42">
        <f t="shared" si="84"/>
        <v>0</v>
      </c>
      <c r="DJ88" s="42">
        <f t="shared" si="84"/>
        <v>0</v>
      </c>
      <c r="DK88" s="42">
        <f t="shared" si="84"/>
        <v>0</v>
      </c>
      <c r="DL88" s="42">
        <f t="shared" si="84"/>
        <v>0</v>
      </c>
      <c r="DM88" s="42">
        <f t="shared" si="84"/>
        <v>0</v>
      </c>
      <c r="DN88" s="42">
        <f t="shared" si="84"/>
        <v>0</v>
      </c>
      <c r="DO88" s="42">
        <f t="shared" si="84"/>
        <v>0</v>
      </c>
      <c r="DP88" s="42">
        <f t="shared" si="84"/>
        <v>0</v>
      </c>
      <c r="DQ88" s="42">
        <f t="shared" si="84"/>
        <v>0</v>
      </c>
      <c r="DR88" s="42">
        <f t="shared" si="84"/>
        <v>0</v>
      </c>
      <c r="DS88" s="42">
        <f t="shared" si="84"/>
        <v>0</v>
      </c>
      <c r="DT88" s="42">
        <f t="shared" si="84"/>
        <v>16242135</v>
      </c>
      <c r="DU88" s="42">
        <f t="shared" si="84"/>
        <v>0</v>
      </c>
      <c r="DV88" s="42">
        <f t="shared" si="84"/>
        <v>0</v>
      </c>
      <c r="DW88" s="42">
        <f t="shared" si="85"/>
        <v>0</v>
      </c>
      <c r="DX88" s="42">
        <f t="shared" si="85"/>
        <v>0</v>
      </c>
      <c r="DY88" s="42"/>
      <c r="DZ88" s="42">
        <f t="shared" si="86"/>
        <v>0</v>
      </c>
      <c r="EB88" s="47">
        <f t="shared" si="63"/>
        <v>150000000</v>
      </c>
      <c r="EC88" s="47">
        <f t="shared" si="64"/>
        <v>150000000</v>
      </c>
      <c r="ED88" s="47">
        <f t="shared" si="65"/>
        <v>150000000</v>
      </c>
      <c r="EI88" s="74">
        <f t="shared" si="87"/>
        <v>150000000</v>
      </c>
      <c r="EJ88" s="74">
        <f t="shared" si="55"/>
        <v>133757865</v>
      </c>
      <c r="EK88" s="241"/>
    </row>
    <row r="89" spans="1:141" ht="30" hidden="1" customHeight="1" x14ac:dyDescent="0.3">
      <c r="A89" s="100"/>
      <c r="B89" s="105"/>
      <c r="C89" s="55" t="s">
        <v>256</v>
      </c>
      <c r="D89" s="39" t="s">
        <v>257</v>
      </c>
      <c r="E89" s="40">
        <v>520</v>
      </c>
      <c r="F89" s="41" t="s">
        <v>232</v>
      </c>
      <c r="G89" s="42">
        <f t="shared" si="73"/>
        <v>2125618253</v>
      </c>
      <c r="H89" s="77"/>
      <c r="I89" s="58"/>
      <c r="J89" s="58"/>
      <c r="K89" s="58"/>
      <c r="L89" s="58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>
        <f>2000000000+115618253</f>
        <v>2115618253</v>
      </c>
      <c r="X89" s="42"/>
      <c r="Y89" s="42"/>
      <c r="Z89" s="42"/>
      <c r="AA89" s="42"/>
      <c r="AB89" s="42"/>
      <c r="AC89" s="42"/>
      <c r="AD89" s="42">
        <f>10000000</f>
        <v>10000000</v>
      </c>
      <c r="AE89" s="43">
        <f t="shared" si="88"/>
        <v>0.54927451124028337</v>
      </c>
      <c r="AF89" s="42">
        <f t="shared" si="74"/>
        <v>1167547927</v>
      </c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>
        <f>+'[3]NOVIEMBRE 2019'!$Y$4969</f>
        <v>1157547927</v>
      </c>
      <c r="AW89" s="42"/>
      <c r="AX89" s="42"/>
      <c r="AY89" s="42"/>
      <c r="AZ89" s="42"/>
      <c r="BA89" s="42"/>
      <c r="BB89" s="42"/>
      <c r="BC89" s="42">
        <f>+'[3]NOVIEMBRE 2019'!$AG$4969</f>
        <v>10000000</v>
      </c>
      <c r="BD89" s="43">
        <f t="shared" si="60"/>
        <v>0.45072548875971663</v>
      </c>
      <c r="BE89" s="42">
        <f t="shared" si="75"/>
        <v>958070326</v>
      </c>
      <c r="BF89" s="42">
        <f t="shared" si="76"/>
        <v>0</v>
      </c>
      <c r="BG89" s="42">
        <f t="shared" si="76"/>
        <v>0</v>
      </c>
      <c r="BH89" s="42">
        <f t="shared" si="76"/>
        <v>0</v>
      </c>
      <c r="BI89" s="42">
        <f t="shared" si="77"/>
        <v>0</v>
      </c>
      <c r="BJ89" s="42">
        <f t="shared" si="78"/>
        <v>0</v>
      </c>
      <c r="BK89" s="42">
        <f t="shared" si="78"/>
        <v>0</v>
      </c>
      <c r="BL89" s="42">
        <f t="shared" si="78"/>
        <v>0</v>
      </c>
      <c r="BM89" s="42">
        <f t="shared" si="78"/>
        <v>0</v>
      </c>
      <c r="BN89" s="42">
        <f t="shared" si="78"/>
        <v>0</v>
      </c>
      <c r="BO89" s="42">
        <f t="shared" si="78"/>
        <v>0</v>
      </c>
      <c r="BP89" s="42">
        <f t="shared" si="78"/>
        <v>0</v>
      </c>
      <c r="BQ89" s="42">
        <f t="shared" si="78"/>
        <v>0</v>
      </c>
      <c r="BR89" s="42">
        <f t="shared" si="78"/>
        <v>0</v>
      </c>
      <c r="BS89" s="42">
        <f t="shared" si="78"/>
        <v>0</v>
      </c>
      <c r="BT89" s="42">
        <f t="shared" si="78"/>
        <v>0</v>
      </c>
      <c r="BU89" s="42">
        <f t="shared" si="78"/>
        <v>958070326</v>
      </c>
      <c r="BV89" s="42">
        <f t="shared" si="78"/>
        <v>0</v>
      </c>
      <c r="BW89" s="42">
        <f t="shared" si="78"/>
        <v>0</v>
      </c>
      <c r="BX89" s="42">
        <f t="shared" si="78"/>
        <v>0</v>
      </c>
      <c r="BY89" s="42">
        <f t="shared" si="78"/>
        <v>0</v>
      </c>
      <c r="BZ89" s="42">
        <f t="shared" si="79"/>
        <v>0</v>
      </c>
      <c r="CA89" s="42"/>
      <c r="CB89" s="42">
        <f t="shared" si="80"/>
        <v>0</v>
      </c>
      <c r="CC89" s="43">
        <f t="shared" si="61"/>
        <v>0.51360271744900188</v>
      </c>
      <c r="CD89" s="42">
        <f t="shared" si="81"/>
        <v>1091723311</v>
      </c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>
        <f>+'[3]NOVIEMBRE 2019'!$H$4967-DA89</f>
        <v>1084000006</v>
      </c>
      <c r="CU89" s="42"/>
      <c r="CV89" s="42"/>
      <c r="CW89" s="42"/>
      <c r="CX89" s="42"/>
      <c r="CY89" s="42"/>
      <c r="CZ89" s="42"/>
      <c r="DA89" s="42">
        <f>+'[3]NOVIEMBRE 2019'!$H$4974+'[3]NOVIEMBRE 2019'!$H$4975+'[3]NOVIEMBRE 2019'!$H$5039+'[3]NOVIEMBRE 2019'!$H$5041+'[3]NOVIEMBRE 2019'!$H$5042+'[3]NOVIEMBRE 2019'!$H$5043+'[3]NOVIEMBRE 2019'!$H$5059+'[3]NOVIEMBRE 2019'!$H$5060+'[3]NOVIEMBRE 2019'!$H$5061+'[3]NOVIEMBRE 2019'!$H$5072+'[3]NOVIEMBRE 2019'!$H$5073+'[3]NOVIEMBRE 2019'!$H$5075+'[3]NOVIEMBRE 2019'!$H$5076+'[3]NOVIEMBRE 2019'!$H$5124</f>
        <v>7723305</v>
      </c>
      <c r="DB89" s="43">
        <f t="shared" si="62"/>
        <v>0.48639728255099812</v>
      </c>
      <c r="DC89" s="42">
        <f t="shared" si="82"/>
        <v>1033894942</v>
      </c>
      <c r="DD89" s="42">
        <f t="shared" si="83"/>
        <v>0</v>
      </c>
      <c r="DE89" s="42">
        <f t="shared" si="83"/>
        <v>0</v>
      </c>
      <c r="DF89" s="42"/>
      <c r="DG89" s="42">
        <f t="shared" si="84"/>
        <v>0</v>
      </c>
      <c r="DH89" s="42">
        <f t="shared" si="84"/>
        <v>0</v>
      </c>
      <c r="DI89" s="42">
        <f t="shared" si="84"/>
        <v>0</v>
      </c>
      <c r="DJ89" s="42">
        <f t="shared" si="84"/>
        <v>0</v>
      </c>
      <c r="DK89" s="42">
        <f t="shared" si="84"/>
        <v>0</v>
      </c>
      <c r="DL89" s="42">
        <f t="shared" si="84"/>
        <v>0</v>
      </c>
      <c r="DM89" s="42">
        <f t="shared" si="84"/>
        <v>0</v>
      </c>
      <c r="DN89" s="42">
        <f t="shared" si="84"/>
        <v>0</v>
      </c>
      <c r="DO89" s="42">
        <f t="shared" si="84"/>
        <v>0</v>
      </c>
      <c r="DP89" s="42">
        <f t="shared" si="84"/>
        <v>0</v>
      </c>
      <c r="DQ89" s="42">
        <f t="shared" si="84"/>
        <v>0</v>
      </c>
      <c r="DR89" s="42">
        <f t="shared" si="84"/>
        <v>0</v>
      </c>
      <c r="DS89" s="42">
        <f t="shared" si="84"/>
        <v>1031618247</v>
      </c>
      <c r="DT89" s="42">
        <f t="shared" si="84"/>
        <v>0</v>
      </c>
      <c r="DU89" s="42">
        <f t="shared" si="84"/>
        <v>0</v>
      </c>
      <c r="DV89" s="42">
        <f t="shared" si="84"/>
        <v>0</v>
      </c>
      <c r="DW89" s="42">
        <f t="shared" si="85"/>
        <v>0</v>
      </c>
      <c r="DX89" s="42">
        <f t="shared" si="85"/>
        <v>0</v>
      </c>
      <c r="DY89" s="42"/>
      <c r="DZ89" s="42">
        <f t="shared" si="86"/>
        <v>2276695</v>
      </c>
      <c r="EB89" s="47">
        <f t="shared" si="63"/>
        <v>2125618253</v>
      </c>
      <c r="EC89" s="47">
        <f t="shared" si="64"/>
        <v>2125618253</v>
      </c>
      <c r="ED89" s="47">
        <f t="shared" si="65"/>
        <v>2125618253</v>
      </c>
      <c r="EI89" s="74">
        <f t="shared" si="87"/>
        <v>2125618253</v>
      </c>
      <c r="EJ89" s="74">
        <f t="shared" si="55"/>
        <v>1091723311</v>
      </c>
      <c r="EK89" s="241"/>
    </row>
    <row r="90" spans="1:141" ht="42" hidden="1" customHeight="1" x14ac:dyDescent="0.3">
      <c r="A90" s="100"/>
      <c r="B90" s="105"/>
      <c r="C90" s="55" t="s">
        <v>258</v>
      </c>
      <c r="D90" s="39" t="s">
        <v>259</v>
      </c>
      <c r="E90" s="40">
        <v>520</v>
      </c>
      <c r="F90" s="41" t="s">
        <v>139</v>
      </c>
      <c r="G90" s="42">
        <f t="shared" si="73"/>
        <v>12000000</v>
      </c>
      <c r="H90" s="58"/>
      <c r="I90" s="58"/>
      <c r="J90" s="58"/>
      <c r="K90" s="58"/>
      <c r="L90" s="58"/>
      <c r="M90" s="58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>
        <v>12000000</v>
      </c>
      <c r="Y90" s="42"/>
      <c r="Z90" s="42"/>
      <c r="AA90" s="42"/>
      <c r="AB90" s="42"/>
      <c r="AC90" s="42"/>
      <c r="AD90" s="42"/>
      <c r="AE90" s="43">
        <f t="shared" si="88"/>
        <v>0.83888891666666665</v>
      </c>
      <c r="AF90" s="42">
        <f t="shared" si="74"/>
        <v>10066667</v>
      </c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>
        <f>+'[10]ENERO 2019'!$Y$1162</f>
        <v>10066667</v>
      </c>
      <c r="AX90" s="42"/>
      <c r="AY90" s="42"/>
      <c r="AZ90" s="42"/>
      <c r="BA90" s="42"/>
      <c r="BB90" s="42"/>
      <c r="BC90" s="42"/>
      <c r="BD90" s="43">
        <f t="shared" si="60"/>
        <v>0.16111108333333335</v>
      </c>
      <c r="BE90" s="42">
        <f t="shared" si="75"/>
        <v>1933333</v>
      </c>
      <c r="BF90" s="42">
        <f t="shared" si="76"/>
        <v>0</v>
      </c>
      <c r="BG90" s="42">
        <f t="shared" si="76"/>
        <v>0</v>
      </c>
      <c r="BH90" s="42">
        <f t="shared" si="76"/>
        <v>0</v>
      </c>
      <c r="BI90" s="42">
        <f t="shared" si="77"/>
        <v>0</v>
      </c>
      <c r="BJ90" s="42">
        <f t="shared" si="78"/>
        <v>0</v>
      </c>
      <c r="BK90" s="42">
        <f t="shared" si="78"/>
        <v>0</v>
      </c>
      <c r="BL90" s="42">
        <f t="shared" si="78"/>
        <v>0</v>
      </c>
      <c r="BM90" s="42">
        <f t="shared" si="78"/>
        <v>0</v>
      </c>
      <c r="BN90" s="42">
        <f t="shared" si="78"/>
        <v>0</v>
      </c>
      <c r="BO90" s="42">
        <f t="shared" si="78"/>
        <v>0</v>
      </c>
      <c r="BP90" s="42">
        <f t="shared" si="78"/>
        <v>0</v>
      </c>
      <c r="BQ90" s="42">
        <f t="shared" si="78"/>
        <v>0</v>
      </c>
      <c r="BR90" s="42">
        <f t="shared" si="78"/>
        <v>0</v>
      </c>
      <c r="BS90" s="42">
        <f t="shared" si="78"/>
        <v>0</v>
      </c>
      <c r="BT90" s="42">
        <f t="shared" si="78"/>
        <v>0</v>
      </c>
      <c r="BU90" s="42">
        <f t="shared" si="78"/>
        <v>0</v>
      </c>
      <c r="BV90" s="42">
        <f t="shared" si="78"/>
        <v>1933333</v>
      </c>
      <c r="BW90" s="42">
        <f t="shared" si="78"/>
        <v>0</v>
      </c>
      <c r="BX90" s="42">
        <f t="shared" si="78"/>
        <v>0</v>
      </c>
      <c r="BY90" s="42">
        <f t="shared" si="78"/>
        <v>0</v>
      </c>
      <c r="BZ90" s="42">
        <f t="shared" si="79"/>
        <v>0</v>
      </c>
      <c r="CA90" s="42"/>
      <c r="CB90" s="42">
        <f t="shared" si="80"/>
        <v>0</v>
      </c>
      <c r="CC90" s="43">
        <f t="shared" si="61"/>
        <v>0.83766358333333335</v>
      </c>
      <c r="CD90" s="42">
        <f t="shared" si="81"/>
        <v>10051963</v>
      </c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>
        <f>+'[10]ENERO 2019'!$H$1160</f>
        <v>10051963</v>
      </c>
      <c r="CV90" s="42"/>
      <c r="CW90" s="42"/>
      <c r="CX90" s="42"/>
      <c r="CY90" s="42"/>
      <c r="CZ90" s="42"/>
      <c r="DA90" s="42"/>
      <c r="DB90" s="43">
        <f t="shared" si="62"/>
        <v>0.16233641666666665</v>
      </c>
      <c r="DC90" s="42">
        <f t="shared" si="82"/>
        <v>1948037</v>
      </c>
      <c r="DD90" s="42">
        <f t="shared" si="83"/>
        <v>0</v>
      </c>
      <c r="DE90" s="42">
        <f t="shared" si="83"/>
        <v>0</v>
      </c>
      <c r="DF90" s="42"/>
      <c r="DG90" s="42">
        <f t="shared" si="84"/>
        <v>0</v>
      </c>
      <c r="DH90" s="42">
        <f t="shared" si="84"/>
        <v>0</v>
      </c>
      <c r="DI90" s="42">
        <f t="shared" si="84"/>
        <v>0</v>
      </c>
      <c r="DJ90" s="42">
        <f t="shared" si="84"/>
        <v>0</v>
      </c>
      <c r="DK90" s="42">
        <f t="shared" si="84"/>
        <v>0</v>
      </c>
      <c r="DL90" s="42">
        <f t="shared" si="84"/>
        <v>0</v>
      </c>
      <c r="DM90" s="42">
        <f t="shared" si="84"/>
        <v>0</v>
      </c>
      <c r="DN90" s="42">
        <f t="shared" si="84"/>
        <v>0</v>
      </c>
      <c r="DO90" s="42">
        <f t="shared" si="84"/>
        <v>0</v>
      </c>
      <c r="DP90" s="42">
        <f t="shared" si="84"/>
        <v>0</v>
      </c>
      <c r="DQ90" s="42">
        <f t="shared" si="84"/>
        <v>0</v>
      </c>
      <c r="DR90" s="42">
        <f t="shared" si="84"/>
        <v>0</v>
      </c>
      <c r="DS90" s="42">
        <f t="shared" si="84"/>
        <v>0</v>
      </c>
      <c r="DT90" s="42">
        <f t="shared" si="84"/>
        <v>1948037</v>
      </c>
      <c r="DU90" s="42">
        <f t="shared" si="84"/>
        <v>0</v>
      </c>
      <c r="DV90" s="42">
        <f t="shared" si="84"/>
        <v>0</v>
      </c>
      <c r="DW90" s="42">
        <f t="shared" si="85"/>
        <v>0</v>
      </c>
      <c r="DX90" s="42">
        <f t="shared" si="85"/>
        <v>0</v>
      </c>
      <c r="DY90" s="42"/>
      <c r="DZ90" s="42">
        <f t="shared" si="86"/>
        <v>0</v>
      </c>
      <c r="EB90" s="47">
        <f t="shared" si="63"/>
        <v>12000000</v>
      </c>
      <c r="EC90" s="47">
        <f t="shared" si="64"/>
        <v>12000000</v>
      </c>
      <c r="ED90" s="47">
        <f t="shared" si="65"/>
        <v>12000000</v>
      </c>
      <c r="EI90" s="74">
        <f t="shared" si="87"/>
        <v>12000000</v>
      </c>
      <c r="EJ90" s="74">
        <f t="shared" si="55"/>
        <v>10051963</v>
      </c>
      <c r="EK90" s="241"/>
    </row>
    <row r="91" spans="1:141" ht="29.4" hidden="1" customHeight="1" x14ac:dyDescent="0.3">
      <c r="A91" s="100"/>
      <c r="B91" s="105"/>
      <c r="C91" s="55" t="s">
        <v>260</v>
      </c>
      <c r="D91" s="39" t="s">
        <v>261</v>
      </c>
      <c r="E91" s="40">
        <v>520</v>
      </c>
      <c r="F91" s="41" t="s">
        <v>139</v>
      </c>
      <c r="G91" s="42">
        <f t="shared" si="73"/>
        <v>15000000</v>
      </c>
      <c r="H91" s="58"/>
      <c r="I91" s="58">
        <f>250000000-100000000-150000000</f>
        <v>0</v>
      </c>
      <c r="J91" s="58"/>
      <c r="K91" s="58"/>
      <c r="L91" s="58"/>
      <c r="M91" s="58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>
        <f>15000000+15000000-15000000</f>
        <v>15000000</v>
      </c>
      <c r="AE91" s="43">
        <f t="shared" si="88"/>
        <v>0.6415540666666667</v>
      </c>
      <c r="AF91" s="42">
        <f t="shared" si="74"/>
        <v>9623311</v>
      </c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>
        <f>+'[3]NOVIEMBRE 2019'!$AG$5141</f>
        <v>9623311</v>
      </c>
      <c r="BD91" s="43">
        <f t="shared" si="60"/>
        <v>0.3584459333333333</v>
      </c>
      <c r="BE91" s="42">
        <f t="shared" si="75"/>
        <v>5376689</v>
      </c>
      <c r="BF91" s="42">
        <f t="shared" si="76"/>
        <v>0</v>
      </c>
      <c r="BG91" s="42">
        <f t="shared" si="76"/>
        <v>0</v>
      </c>
      <c r="BH91" s="42">
        <f t="shared" si="76"/>
        <v>0</v>
      </c>
      <c r="BI91" s="42">
        <f t="shared" si="77"/>
        <v>0</v>
      </c>
      <c r="BJ91" s="42">
        <f t="shared" si="78"/>
        <v>0</v>
      </c>
      <c r="BK91" s="42">
        <f t="shared" si="78"/>
        <v>0</v>
      </c>
      <c r="BL91" s="42">
        <f t="shared" si="78"/>
        <v>0</v>
      </c>
      <c r="BM91" s="42">
        <f t="shared" si="78"/>
        <v>0</v>
      </c>
      <c r="BN91" s="42">
        <f t="shared" si="78"/>
        <v>0</v>
      </c>
      <c r="BO91" s="42">
        <f t="shared" si="78"/>
        <v>0</v>
      </c>
      <c r="BP91" s="42">
        <f t="shared" si="78"/>
        <v>0</v>
      </c>
      <c r="BQ91" s="42">
        <f t="shared" si="78"/>
        <v>0</v>
      </c>
      <c r="BR91" s="42">
        <f t="shared" si="78"/>
        <v>0</v>
      </c>
      <c r="BS91" s="42">
        <f t="shared" si="78"/>
        <v>0</v>
      </c>
      <c r="BT91" s="42">
        <f t="shared" si="78"/>
        <v>0</v>
      </c>
      <c r="BU91" s="42">
        <f t="shared" si="78"/>
        <v>0</v>
      </c>
      <c r="BV91" s="42">
        <f t="shared" si="78"/>
        <v>0</v>
      </c>
      <c r="BW91" s="42">
        <f t="shared" si="78"/>
        <v>0</v>
      </c>
      <c r="BX91" s="42">
        <f t="shared" si="78"/>
        <v>0</v>
      </c>
      <c r="BY91" s="42">
        <f t="shared" si="78"/>
        <v>0</v>
      </c>
      <c r="BZ91" s="42">
        <f t="shared" si="79"/>
        <v>0</v>
      </c>
      <c r="CA91" s="42"/>
      <c r="CB91" s="42">
        <f t="shared" si="80"/>
        <v>5376689</v>
      </c>
      <c r="CC91" s="43">
        <f t="shared" si="61"/>
        <v>0.6415540666666667</v>
      </c>
      <c r="CD91" s="42">
        <f t="shared" si="81"/>
        <v>9623311</v>
      </c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>
        <f>+'[3]NOVIEMBRE 2019'!$H$5139</f>
        <v>9623311</v>
      </c>
      <c r="DB91" s="43">
        <f t="shared" si="62"/>
        <v>0.3584459333333333</v>
      </c>
      <c r="DC91" s="42">
        <f t="shared" si="82"/>
        <v>5376689</v>
      </c>
      <c r="DD91" s="42">
        <f t="shared" si="83"/>
        <v>0</v>
      </c>
      <c r="DE91" s="42">
        <f t="shared" si="83"/>
        <v>0</v>
      </c>
      <c r="DF91" s="42"/>
      <c r="DG91" s="42">
        <f t="shared" si="84"/>
        <v>0</v>
      </c>
      <c r="DH91" s="42">
        <f t="shared" si="84"/>
        <v>0</v>
      </c>
      <c r="DI91" s="42">
        <f t="shared" si="84"/>
        <v>0</v>
      </c>
      <c r="DJ91" s="42">
        <f t="shared" si="84"/>
        <v>0</v>
      </c>
      <c r="DK91" s="42">
        <f t="shared" si="84"/>
        <v>0</v>
      </c>
      <c r="DL91" s="42">
        <f t="shared" si="84"/>
        <v>0</v>
      </c>
      <c r="DM91" s="42">
        <f t="shared" si="84"/>
        <v>0</v>
      </c>
      <c r="DN91" s="42">
        <f t="shared" si="84"/>
        <v>0</v>
      </c>
      <c r="DO91" s="42">
        <f t="shared" si="84"/>
        <v>0</v>
      </c>
      <c r="DP91" s="42">
        <f t="shared" si="84"/>
        <v>0</v>
      </c>
      <c r="DQ91" s="42">
        <f t="shared" si="84"/>
        <v>0</v>
      </c>
      <c r="DR91" s="42">
        <f t="shared" si="84"/>
        <v>0</v>
      </c>
      <c r="DS91" s="42">
        <f t="shared" si="84"/>
        <v>0</v>
      </c>
      <c r="DT91" s="42">
        <f t="shared" si="84"/>
        <v>0</v>
      </c>
      <c r="DU91" s="42">
        <f t="shared" si="84"/>
        <v>0</v>
      </c>
      <c r="DV91" s="42">
        <f t="shared" si="84"/>
        <v>0</v>
      </c>
      <c r="DW91" s="42">
        <f t="shared" si="85"/>
        <v>0</v>
      </c>
      <c r="DX91" s="42">
        <f t="shared" si="85"/>
        <v>0</v>
      </c>
      <c r="DY91" s="42"/>
      <c r="DZ91" s="42">
        <f t="shared" si="86"/>
        <v>5376689</v>
      </c>
      <c r="EB91" s="47">
        <f t="shared" si="63"/>
        <v>15000000</v>
      </c>
      <c r="EC91" s="47">
        <f t="shared" si="64"/>
        <v>15000000</v>
      </c>
      <c r="ED91" s="47">
        <f t="shared" si="65"/>
        <v>15000000</v>
      </c>
      <c r="EI91" s="74">
        <f t="shared" si="87"/>
        <v>15000000</v>
      </c>
      <c r="EJ91" s="74">
        <f t="shared" si="55"/>
        <v>9623311</v>
      </c>
      <c r="EK91" s="241"/>
    </row>
    <row r="92" spans="1:141" ht="43.2" hidden="1" x14ac:dyDescent="0.3">
      <c r="A92" s="100"/>
      <c r="B92" s="105"/>
      <c r="C92" s="55" t="s">
        <v>262</v>
      </c>
      <c r="D92" s="39" t="s">
        <v>263</v>
      </c>
      <c r="E92" s="40">
        <v>520</v>
      </c>
      <c r="F92" s="41" t="s">
        <v>139</v>
      </c>
      <c r="G92" s="42">
        <f t="shared" si="73"/>
        <v>0</v>
      </c>
      <c r="H92" s="58"/>
      <c r="I92" s="42"/>
      <c r="J92" s="42"/>
      <c r="K92" s="42"/>
      <c r="L92" s="58"/>
      <c r="M92" s="58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3" t="e">
        <f t="shared" si="88"/>
        <v>#DIV/0!</v>
      </c>
      <c r="AF92" s="42">
        <f t="shared" si="74"/>
        <v>0</v>
      </c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3" t="e">
        <f t="shared" si="60"/>
        <v>#DIV/0!</v>
      </c>
      <c r="BE92" s="42">
        <f t="shared" si="75"/>
        <v>0</v>
      </c>
      <c r="BF92" s="42">
        <f t="shared" si="76"/>
        <v>0</v>
      </c>
      <c r="BG92" s="42">
        <f t="shared" si="76"/>
        <v>0</v>
      </c>
      <c r="BH92" s="42">
        <f t="shared" si="76"/>
        <v>0</v>
      </c>
      <c r="BI92" s="42">
        <f t="shared" si="77"/>
        <v>0</v>
      </c>
      <c r="BJ92" s="42">
        <f t="shared" si="78"/>
        <v>0</v>
      </c>
      <c r="BK92" s="42">
        <f t="shared" si="78"/>
        <v>0</v>
      </c>
      <c r="BL92" s="42">
        <f t="shared" si="78"/>
        <v>0</v>
      </c>
      <c r="BM92" s="42">
        <f t="shared" si="78"/>
        <v>0</v>
      </c>
      <c r="BN92" s="42">
        <f t="shared" si="78"/>
        <v>0</v>
      </c>
      <c r="BO92" s="42">
        <f t="shared" si="78"/>
        <v>0</v>
      </c>
      <c r="BP92" s="42">
        <f t="shared" si="78"/>
        <v>0</v>
      </c>
      <c r="BQ92" s="42">
        <f t="shared" si="78"/>
        <v>0</v>
      </c>
      <c r="BR92" s="42">
        <f t="shared" si="78"/>
        <v>0</v>
      </c>
      <c r="BS92" s="42">
        <f t="shared" si="78"/>
        <v>0</v>
      </c>
      <c r="BT92" s="42">
        <f t="shared" si="78"/>
        <v>0</v>
      </c>
      <c r="BU92" s="42">
        <f t="shared" si="78"/>
        <v>0</v>
      </c>
      <c r="BV92" s="42">
        <f t="shared" si="78"/>
        <v>0</v>
      </c>
      <c r="BW92" s="42">
        <f t="shared" si="78"/>
        <v>0</v>
      </c>
      <c r="BX92" s="42">
        <f t="shared" si="78"/>
        <v>0</v>
      </c>
      <c r="BY92" s="42">
        <f t="shared" si="78"/>
        <v>0</v>
      </c>
      <c r="BZ92" s="42">
        <f t="shared" si="79"/>
        <v>0</v>
      </c>
      <c r="CA92" s="42"/>
      <c r="CB92" s="42">
        <f t="shared" si="80"/>
        <v>0</v>
      </c>
      <c r="CC92" s="43" t="e">
        <f t="shared" si="61"/>
        <v>#DIV/0!</v>
      </c>
      <c r="CD92" s="42">
        <f t="shared" si="81"/>
        <v>0</v>
      </c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3" t="e">
        <f t="shared" si="62"/>
        <v>#DIV/0!</v>
      </c>
      <c r="DC92" s="42">
        <f t="shared" si="82"/>
        <v>0</v>
      </c>
      <c r="DD92" s="42">
        <f t="shared" si="83"/>
        <v>0</v>
      </c>
      <c r="DE92" s="42">
        <f t="shared" si="83"/>
        <v>0</v>
      </c>
      <c r="DF92" s="42"/>
      <c r="DG92" s="42">
        <f t="shared" si="84"/>
        <v>0</v>
      </c>
      <c r="DH92" s="42">
        <f t="shared" si="84"/>
        <v>0</v>
      </c>
      <c r="DI92" s="42">
        <f t="shared" si="84"/>
        <v>0</v>
      </c>
      <c r="DJ92" s="42">
        <f t="shared" si="84"/>
        <v>0</v>
      </c>
      <c r="DK92" s="42">
        <f t="shared" si="84"/>
        <v>0</v>
      </c>
      <c r="DL92" s="42">
        <f t="shared" si="84"/>
        <v>0</v>
      </c>
      <c r="DM92" s="42">
        <f t="shared" si="84"/>
        <v>0</v>
      </c>
      <c r="DN92" s="42">
        <f t="shared" si="84"/>
        <v>0</v>
      </c>
      <c r="DO92" s="42">
        <f t="shared" si="84"/>
        <v>0</v>
      </c>
      <c r="DP92" s="42">
        <f t="shared" si="84"/>
        <v>0</v>
      </c>
      <c r="DQ92" s="42">
        <f t="shared" si="84"/>
        <v>0</v>
      </c>
      <c r="DR92" s="42">
        <f t="shared" si="84"/>
        <v>0</v>
      </c>
      <c r="DS92" s="42">
        <f t="shared" si="84"/>
        <v>0</v>
      </c>
      <c r="DT92" s="42">
        <f t="shared" si="84"/>
        <v>0</v>
      </c>
      <c r="DU92" s="42">
        <f t="shared" si="84"/>
        <v>0</v>
      </c>
      <c r="DV92" s="42">
        <f t="shared" si="84"/>
        <v>0</v>
      </c>
      <c r="DW92" s="42">
        <f t="shared" si="85"/>
        <v>0</v>
      </c>
      <c r="DX92" s="42">
        <f t="shared" si="85"/>
        <v>0</v>
      </c>
      <c r="DY92" s="42"/>
      <c r="DZ92" s="42">
        <f t="shared" si="86"/>
        <v>0</v>
      </c>
      <c r="EB92" s="47">
        <f t="shared" si="63"/>
        <v>0</v>
      </c>
      <c r="EC92" s="47">
        <f t="shared" si="64"/>
        <v>0</v>
      </c>
      <c r="ED92" s="47">
        <f t="shared" si="65"/>
        <v>0</v>
      </c>
      <c r="EI92" s="74">
        <f t="shared" si="87"/>
        <v>0</v>
      </c>
      <c r="EJ92" s="74">
        <f t="shared" si="55"/>
        <v>0</v>
      </c>
      <c r="EK92" s="241"/>
    </row>
    <row r="93" spans="1:141" ht="29.4" hidden="1" customHeight="1" x14ac:dyDescent="0.3">
      <c r="A93" s="100"/>
      <c r="B93" s="105"/>
      <c r="C93" s="55" t="s">
        <v>264</v>
      </c>
      <c r="D93" s="39" t="s">
        <v>265</v>
      </c>
      <c r="E93" s="40">
        <v>520</v>
      </c>
      <c r="F93" s="41" t="s">
        <v>266</v>
      </c>
      <c r="G93" s="42">
        <f t="shared" si="73"/>
        <v>740144558</v>
      </c>
      <c r="H93" s="58"/>
      <c r="I93" s="58">
        <f>100000000+20000000</f>
        <v>120000000</v>
      </c>
      <c r="J93" s="58"/>
      <c r="K93" s="58"/>
      <c r="L93" s="58"/>
      <c r="M93" s="58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>
        <f>10000000+4000000+4000000</f>
        <v>18000000</v>
      </c>
      <c r="Y93" s="42">
        <v>52565530</v>
      </c>
      <c r="Z93" s="42">
        <f>50000000</f>
        <v>50000000</v>
      </c>
      <c r="AA93" s="42"/>
      <c r="AB93" s="42"/>
      <c r="AC93" s="42"/>
      <c r="AD93" s="42">
        <f>428900527+60000000+45000000+1533333-30000000-6000000+54739+4090429-4000000</f>
        <v>499579028</v>
      </c>
      <c r="AE93" s="43">
        <f t="shared" si="88"/>
        <v>0.98081658394089011</v>
      </c>
      <c r="AF93" s="42">
        <f t="shared" si="74"/>
        <v>725946057</v>
      </c>
      <c r="AG93" s="42"/>
      <c r="AH93" s="42">
        <f>+'[4]JULIO 2019'!$K$3187</f>
        <v>120000000</v>
      </c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>
        <f>+'[4]JULIO 2019'!$Y$3187</f>
        <v>18000000</v>
      </c>
      <c r="AX93" s="42">
        <f>+'[5]JUNIO 2019'!$Z$2604</f>
        <v>52565530</v>
      </c>
      <c r="AY93" s="42">
        <f>+'[2]SEPTIEMBRE 2019'!$AB$4178</f>
        <v>50000000</v>
      </c>
      <c r="AZ93" s="42"/>
      <c r="BA93" s="42"/>
      <c r="BB93" s="42"/>
      <c r="BC93" s="42">
        <f>+'[3]NOVIEMBRE 2019'!$AG$5168</f>
        <v>485380527</v>
      </c>
      <c r="BD93" s="43">
        <f t="shared" si="60"/>
        <v>1.9183416059109892E-2</v>
      </c>
      <c r="BE93" s="42">
        <f t="shared" si="75"/>
        <v>14198501</v>
      </c>
      <c r="BF93" s="42">
        <f t="shared" si="76"/>
        <v>0</v>
      </c>
      <c r="BG93" s="42">
        <f t="shared" si="76"/>
        <v>0</v>
      </c>
      <c r="BH93" s="42">
        <f t="shared" si="76"/>
        <v>0</v>
      </c>
      <c r="BI93" s="42">
        <f t="shared" si="77"/>
        <v>0</v>
      </c>
      <c r="BJ93" s="42">
        <f t="shared" si="78"/>
        <v>0</v>
      </c>
      <c r="BK93" s="42">
        <f t="shared" si="78"/>
        <v>0</v>
      </c>
      <c r="BL93" s="42">
        <f t="shared" si="78"/>
        <v>0</v>
      </c>
      <c r="BM93" s="42">
        <f t="shared" si="78"/>
        <v>0</v>
      </c>
      <c r="BN93" s="42">
        <f t="shared" si="78"/>
        <v>0</v>
      </c>
      <c r="BO93" s="42">
        <f t="shared" si="78"/>
        <v>0</v>
      </c>
      <c r="BP93" s="42">
        <f t="shared" si="78"/>
        <v>0</v>
      </c>
      <c r="BQ93" s="42">
        <f t="shared" si="78"/>
        <v>0</v>
      </c>
      <c r="BR93" s="42">
        <f t="shared" si="78"/>
        <v>0</v>
      </c>
      <c r="BS93" s="42">
        <f t="shared" si="78"/>
        <v>0</v>
      </c>
      <c r="BT93" s="42">
        <f t="shared" si="78"/>
        <v>0</v>
      </c>
      <c r="BU93" s="42">
        <f t="shared" si="78"/>
        <v>0</v>
      </c>
      <c r="BV93" s="42">
        <f t="shared" si="78"/>
        <v>0</v>
      </c>
      <c r="BW93" s="42">
        <f t="shared" si="78"/>
        <v>0</v>
      </c>
      <c r="BX93" s="42">
        <f t="shared" si="78"/>
        <v>0</v>
      </c>
      <c r="BY93" s="42">
        <f t="shared" si="78"/>
        <v>0</v>
      </c>
      <c r="BZ93" s="42">
        <f t="shared" si="79"/>
        <v>0</v>
      </c>
      <c r="CA93" s="42"/>
      <c r="CB93" s="42">
        <f t="shared" si="80"/>
        <v>14198501</v>
      </c>
      <c r="CC93" s="43">
        <f t="shared" si="61"/>
        <v>0.95721811143817126</v>
      </c>
      <c r="CD93" s="42">
        <f t="shared" si="81"/>
        <v>708479776</v>
      </c>
      <c r="CE93" s="42"/>
      <c r="CF93" s="42">
        <f>+'[3]NOVIEMBRE 2019'!$H$5224+'[3]NOVIEMBRE 2019'!$K$5274</f>
        <v>120000000</v>
      </c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>
        <f>+'[3]NOVIEMBRE 2019'!$H$5236+'[3]NOVIEMBRE 2019'!$Z$5274-5800005</f>
        <v>12199995</v>
      </c>
      <c r="CV93" s="42">
        <f>+'[3]NOVIEMBRE 2019'!$H$5256</f>
        <v>51900000</v>
      </c>
      <c r="CW93" s="42">
        <f>+'[3]NOVIEMBRE 2019'!$H$5299</f>
        <v>50000000</v>
      </c>
      <c r="CX93" s="42"/>
      <c r="CY93" s="42"/>
      <c r="CZ93" s="42"/>
      <c r="DA93" s="42">
        <f>+'[3]NOVIEMBRE 2019'!$H$5169+'[3]NOVIEMBRE 2019'!$H$5185+'[3]NOVIEMBRE 2019'!$H$5203+'[3]NOVIEMBRE 2019'!$H$5221+'[3]NOVIEMBRE 2019'!$H$5240+'[3]NOVIEMBRE 2019'!$H$5242+'[3]NOVIEMBRE 2019'!$H$5247+'[3]NOVIEMBRE 2019'!$H$5267+'[3]NOVIEMBRE 2019'!$H$5281+'[3]NOVIEMBRE 2019'!$H$5291+'[3]NOVIEMBRE 2019'!$H$5294+'[3]NOVIEMBRE 2019'!$H$5297+'[3]NOVIEMBRE 2019'!$H$5313+'[3]NOVIEMBRE 2019'!$H$5318</f>
        <v>474379781</v>
      </c>
      <c r="DB93" s="43">
        <f t="shared" si="62"/>
        <v>4.278188856182874E-2</v>
      </c>
      <c r="DC93" s="42">
        <f t="shared" si="82"/>
        <v>31664782</v>
      </c>
      <c r="DD93" s="42">
        <f t="shared" si="83"/>
        <v>0</v>
      </c>
      <c r="DE93" s="42">
        <f t="shared" si="83"/>
        <v>0</v>
      </c>
      <c r="DF93" s="42"/>
      <c r="DG93" s="42">
        <f t="shared" si="84"/>
        <v>0</v>
      </c>
      <c r="DH93" s="42">
        <f t="shared" si="84"/>
        <v>0</v>
      </c>
      <c r="DI93" s="42">
        <f t="shared" si="84"/>
        <v>0</v>
      </c>
      <c r="DJ93" s="42">
        <f t="shared" si="84"/>
        <v>0</v>
      </c>
      <c r="DK93" s="42">
        <f t="shared" si="84"/>
        <v>0</v>
      </c>
      <c r="DL93" s="42">
        <f t="shared" si="84"/>
        <v>0</v>
      </c>
      <c r="DM93" s="42">
        <f t="shared" si="84"/>
        <v>0</v>
      </c>
      <c r="DN93" s="42">
        <f t="shared" si="84"/>
        <v>0</v>
      </c>
      <c r="DO93" s="42">
        <f t="shared" si="84"/>
        <v>0</v>
      </c>
      <c r="DP93" s="42">
        <f t="shared" si="84"/>
        <v>0</v>
      </c>
      <c r="DQ93" s="42">
        <f t="shared" si="84"/>
        <v>0</v>
      </c>
      <c r="DR93" s="42">
        <f t="shared" si="84"/>
        <v>0</v>
      </c>
      <c r="DS93" s="42">
        <f t="shared" si="84"/>
        <v>0</v>
      </c>
      <c r="DT93" s="42">
        <f t="shared" si="84"/>
        <v>5800005</v>
      </c>
      <c r="DU93" s="42">
        <f t="shared" si="84"/>
        <v>665530</v>
      </c>
      <c r="DV93" s="42">
        <f t="shared" si="84"/>
        <v>0</v>
      </c>
      <c r="DW93" s="42">
        <f t="shared" si="85"/>
        <v>0</v>
      </c>
      <c r="DX93" s="42">
        <f t="shared" si="85"/>
        <v>0</v>
      </c>
      <c r="DY93" s="42"/>
      <c r="DZ93" s="42">
        <f t="shared" si="86"/>
        <v>25199247</v>
      </c>
      <c r="EB93" s="47">
        <f t="shared" si="63"/>
        <v>740144558</v>
      </c>
      <c r="EC93" s="47">
        <f t="shared" si="64"/>
        <v>740144558</v>
      </c>
      <c r="ED93" s="47">
        <f t="shared" si="65"/>
        <v>740144558</v>
      </c>
      <c r="EI93" s="74">
        <f t="shared" si="87"/>
        <v>740144558</v>
      </c>
      <c r="EJ93" s="74">
        <f t="shared" si="55"/>
        <v>708479776</v>
      </c>
      <c r="EK93" s="241"/>
    </row>
    <row r="94" spans="1:141" ht="32.4" hidden="1" customHeight="1" x14ac:dyDescent="0.3">
      <c r="A94" s="106"/>
      <c r="B94" s="105"/>
      <c r="C94" s="55" t="s">
        <v>267</v>
      </c>
      <c r="D94" s="50" t="s">
        <v>268</v>
      </c>
      <c r="E94" s="40">
        <v>520</v>
      </c>
      <c r="F94" s="41" t="s">
        <v>269</v>
      </c>
      <c r="G94" s="42">
        <f t="shared" si="73"/>
        <v>6000000</v>
      </c>
      <c r="H94" s="58"/>
      <c r="I94" s="58"/>
      <c r="J94" s="58"/>
      <c r="K94" s="58"/>
      <c r="L94" s="58"/>
      <c r="M94" s="58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>
        <f>10000000-4000000</f>
        <v>6000000</v>
      </c>
      <c r="Y94" s="42"/>
      <c r="Z94" s="42"/>
      <c r="AA94" s="42"/>
      <c r="AB94" s="42"/>
      <c r="AC94" s="42"/>
      <c r="AD94" s="42"/>
      <c r="AE94" s="43">
        <f t="shared" si="88"/>
        <v>0.85833333333333328</v>
      </c>
      <c r="AF94" s="42">
        <f t="shared" si="74"/>
        <v>5150000</v>
      </c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>
        <f>+'[1]OCTUBRE 2019'!$Z$4799</f>
        <v>5150000</v>
      </c>
      <c r="AX94" s="42"/>
      <c r="AY94" s="42"/>
      <c r="AZ94" s="42"/>
      <c r="BA94" s="42"/>
      <c r="BB94" s="42"/>
      <c r="BC94" s="42"/>
      <c r="BD94" s="43">
        <f t="shared" si="60"/>
        <v>0.14166666666666672</v>
      </c>
      <c r="BE94" s="42">
        <f t="shared" si="75"/>
        <v>850000</v>
      </c>
      <c r="BF94" s="42">
        <f t="shared" si="76"/>
        <v>0</v>
      </c>
      <c r="BG94" s="42">
        <f t="shared" si="76"/>
        <v>0</v>
      </c>
      <c r="BH94" s="42">
        <f t="shared" si="76"/>
        <v>0</v>
      </c>
      <c r="BI94" s="42">
        <f t="shared" si="77"/>
        <v>0</v>
      </c>
      <c r="BJ94" s="42">
        <f t="shared" si="78"/>
        <v>0</v>
      </c>
      <c r="BK94" s="42">
        <f t="shared" si="78"/>
        <v>0</v>
      </c>
      <c r="BL94" s="42">
        <f t="shared" si="78"/>
        <v>0</v>
      </c>
      <c r="BM94" s="42">
        <f t="shared" si="78"/>
        <v>0</v>
      </c>
      <c r="BN94" s="42">
        <f t="shared" si="78"/>
        <v>0</v>
      </c>
      <c r="BO94" s="42">
        <f t="shared" si="78"/>
        <v>0</v>
      </c>
      <c r="BP94" s="42">
        <f t="shared" si="78"/>
        <v>0</v>
      </c>
      <c r="BQ94" s="42">
        <f t="shared" si="78"/>
        <v>0</v>
      </c>
      <c r="BR94" s="42">
        <f t="shared" si="78"/>
        <v>0</v>
      </c>
      <c r="BS94" s="42">
        <f t="shared" si="78"/>
        <v>0</v>
      </c>
      <c r="BT94" s="42">
        <f t="shared" si="78"/>
        <v>0</v>
      </c>
      <c r="BU94" s="42">
        <f t="shared" si="78"/>
        <v>0</v>
      </c>
      <c r="BV94" s="42">
        <f t="shared" si="78"/>
        <v>850000</v>
      </c>
      <c r="BW94" s="42">
        <f t="shared" si="78"/>
        <v>0</v>
      </c>
      <c r="BX94" s="42">
        <f t="shared" si="78"/>
        <v>0</v>
      </c>
      <c r="BY94" s="42">
        <f t="shared" si="78"/>
        <v>0</v>
      </c>
      <c r="BZ94" s="42">
        <f t="shared" si="79"/>
        <v>0</v>
      </c>
      <c r="CA94" s="42"/>
      <c r="CB94" s="42">
        <f t="shared" si="80"/>
        <v>0</v>
      </c>
      <c r="CC94" s="43">
        <f t="shared" si="61"/>
        <v>0.85833333333333328</v>
      </c>
      <c r="CD94" s="42">
        <f t="shared" si="81"/>
        <v>5150000</v>
      </c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>
        <f>+'[1]OCTUBRE 2019'!$H$4797</f>
        <v>5150000</v>
      </c>
      <c r="CV94" s="42"/>
      <c r="CW94" s="42"/>
      <c r="CX94" s="42"/>
      <c r="CY94" s="42"/>
      <c r="CZ94" s="42"/>
      <c r="DA94" s="42"/>
      <c r="DB94" s="43">
        <f t="shared" si="62"/>
        <v>0.14166666666666672</v>
      </c>
      <c r="DC94" s="42">
        <f t="shared" si="82"/>
        <v>850000</v>
      </c>
      <c r="DD94" s="42">
        <f t="shared" si="83"/>
        <v>0</v>
      </c>
      <c r="DE94" s="42">
        <f t="shared" si="83"/>
        <v>0</v>
      </c>
      <c r="DF94" s="42"/>
      <c r="DG94" s="42">
        <f t="shared" si="84"/>
        <v>0</v>
      </c>
      <c r="DH94" s="42">
        <f t="shared" si="84"/>
        <v>0</v>
      </c>
      <c r="DI94" s="42">
        <f t="shared" si="84"/>
        <v>0</v>
      </c>
      <c r="DJ94" s="42">
        <f t="shared" si="84"/>
        <v>0</v>
      </c>
      <c r="DK94" s="42">
        <f t="shared" si="84"/>
        <v>0</v>
      </c>
      <c r="DL94" s="42">
        <f t="shared" si="84"/>
        <v>0</v>
      </c>
      <c r="DM94" s="42">
        <f t="shared" si="84"/>
        <v>0</v>
      </c>
      <c r="DN94" s="42">
        <f t="shared" si="84"/>
        <v>0</v>
      </c>
      <c r="DO94" s="42">
        <f t="shared" si="84"/>
        <v>0</v>
      </c>
      <c r="DP94" s="42">
        <f t="shared" si="84"/>
        <v>0</v>
      </c>
      <c r="DQ94" s="42">
        <f t="shared" si="84"/>
        <v>0</v>
      </c>
      <c r="DR94" s="42">
        <f t="shared" si="84"/>
        <v>0</v>
      </c>
      <c r="DS94" s="42">
        <f t="shared" si="84"/>
        <v>0</v>
      </c>
      <c r="DT94" s="42">
        <f t="shared" si="84"/>
        <v>850000</v>
      </c>
      <c r="DU94" s="42">
        <f t="shared" si="84"/>
        <v>0</v>
      </c>
      <c r="DV94" s="42">
        <f t="shared" si="84"/>
        <v>0</v>
      </c>
      <c r="DW94" s="42">
        <f t="shared" si="85"/>
        <v>0</v>
      </c>
      <c r="DX94" s="42">
        <f t="shared" si="85"/>
        <v>0</v>
      </c>
      <c r="DY94" s="42"/>
      <c r="DZ94" s="42">
        <f t="shared" si="86"/>
        <v>0</v>
      </c>
      <c r="EB94" s="47">
        <f t="shared" si="63"/>
        <v>6000000</v>
      </c>
      <c r="EC94" s="47">
        <f t="shared" si="64"/>
        <v>6000000</v>
      </c>
      <c r="ED94" s="47">
        <f t="shared" si="65"/>
        <v>6000000</v>
      </c>
      <c r="EI94" s="74">
        <f t="shared" si="87"/>
        <v>6000000</v>
      </c>
      <c r="EJ94" s="74">
        <f t="shared" si="55"/>
        <v>5150000</v>
      </c>
      <c r="EK94" s="241"/>
    </row>
    <row r="95" spans="1:141" ht="28.2" hidden="1" customHeight="1" x14ac:dyDescent="0.3">
      <c r="A95" s="106"/>
      <c r="B95" s="105"/>
      <c r="C95" s="55" t="s">
        <v>270</v>
      </c>
      <c r="D95" s="50" t="s">
        <v>271</v>
      </c>
      <c r="E95" s="40">
        <v>520</v>
      </c>
      <c r="F95" s="41" t="s">
        <v>139</v>
      </c>
      <c r="G95" s="42">
        <f t="shared" si="73"/>
        <v>6000000</v>
      </c>
      <c r="H95" s="58"/>
      <c r="I95" s="58"/>
      <c r="J95" s="58"/>
      <c r="K95" s="58"/>
      <c r="L95" s="58"/>
      <c r="M95" s="58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>
        <f>10000000-4000000</f>
        <v>6000000</v>
      </c>
      <c r="Y95" s="42"/>
      <c r="Z95" s="42"/>
      <c r="AA95" s="42"/>
      <c r="AB95" s="42"/>
      <c r="AC95" s="42"/>
      <c r="AD95" s="42"/>
      <c r="AE95" s="43">
        <f t="shared" si="88"/>
        <v>0.53</v>
      </c>
      <c r="AF95" s="42">
        <f t="shared" si="74"/>
        <v>3180000</v>
      </c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>
        <f>+'[1]OCTUBRE 2019'!$Z$4810</f>
        <v>3180000</v>
      </c>
      <c r="AX95" s="42"/>
      <c r="AY95" s="42"/>
      <c r="AZ95" s="42"/>
      <c r="BA95" s="42"/>
      <c r="BB95" s="42"/>
      <c r="BC95" s="42"/>
      <c r="BD95" s="43">
        <f t="shared" si="60"/>
        <v>0.47</v>
      </c>
      <c r="BE95" s="42">
        <f t="shared" si="75"/>
        <v>2820000</v>
      </c>
      <c r="BF95" s="42">
        <f t="shared" si="76"/>
        <v>0</v>
      </c>
      <c r="BG95" s="42">
        <f t="shared" si="76"/>
        <v>0</v>
      </c>
      <c r="BH95" s="42">
        <f t="shared" si="76"/>
        <v>0</v>
      </c>
      <c r="BI95" s="42">
        <f t="shared" si="77"/>
        <v>0</v>
      </c>
      <c r="BJ95" s="42">
        <f t="shared" si="78"/>
        <v>0</v>
      </c>
      <c r="BK95" s="42">
        <f t="shared" si="78"/>
        <v>0</v>
      </c>
      <c r="BL95" s="42">
        <f t="shared" si="78"/>
        <v>0</v>
      </c>
      <c r="BM95" s="42">
        <f t="shared" si="78"/>
        <v>0</v>
      </c>
      <c r="BN95" s="42">
        <f t="shared" si="78"/>
        <v>0</v>
      </c>
      <c r="BO95" s="42">
        <f t="shared" si="78"/>
        <v>0</v>
      </c>
      <c r="BP95" s="42">
        <f t="shared" si="78"/>
        <v>0</v>
      </c>
      <c r="BQ95" s="42">
        <f t="shared" si="78"/>
        <v>0</v>
      </c>
      <c r="BR95" s="42">
        <f t="shared" si="78"/>
        <v>0</v>
      </c>
      <c r="BS95" s="42">
        <f t="shared" si="78"/>
        <v>0</v>
      </c>
      <c r="BT95" s="42">
        <f t="shared" si="78"/>
        <v>0</v>
      </c>
      <c r="BU95" s="42">
        <f t="shared" si="78"/>
        <v>0</v>
      </c>
      <c r="BV95" s="42">
        <f t="shared" si="78"/>
        <v>2820000</v>
      </c>
      <c r="BW95" s="42">
        <f t="shared" si="78"/>
        <v>0</v>
      </c>
      <c r="BX95" s="42">
        <f t="shared" si="78"/>
        <v>0</v>
      </c>
      <c r="BY95" s="42">
        <f t="shared" si="78"/>
        <v>0</v>
      </c>
      <c r="BZ95" s="42">
        <f t="shared" si="79"/>
        <v>0</v>
      </c>
      <c r="CA95" s="42"/>
      <c r="CB95" s="42">
        <f t="shared" si="80"/>
        <v>0</v>
      </c>
      <c r="CC95" s="43">
        <f t="shared" si="61"/>
        <v>0.53</v>
      </c>
      <c r="CD95" s="42">
        <f t="shared" si="81"/>
        <v>3180000</v>
      </c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>
        <f>+'[1]OCTUBRE 2019'!$H$4808</f>
        <v>3180000</v>
      </c>
      <c r="CV95" s="42"/>
      <c r="CW95" s="42"/>
      <c r="CX95" s="42"/>
      <c r="CY95" s="42"/>
      <c r="CZ95" s="42"/>
      <c r="DA95" s="42"/>
      <c r="DB95" s="43">
        <f t="shared" si="62"/>
        <v>0.47</v>
      </c>
      <c r="DC95" s="42">
        <f t="shared" si="82"/>
        <v>2820000</v>
      </c>
      <c r="DD95" s="42">
        <f t="shared" si="83"/>
        <v>0</v>
      </c>
      <c r="DE95" s="42">
        <f t="shared" si="83"/>
        <v>0</v>
      </c>
      <c r="DF95" s="42"/>
      <c r="DG95" s="42">
        <f t="shared" si="84"/>
        <v>0</v>
      </c>
      <c r="DH95" s="42">
        <f t="shared" si="84"/>
        <v>0</v>
      </c>
      <c r="DI95" s="42">
        <f t="shared" si="84"/>
        <v>0</v>
      </c>
      <c r="DJ95" s="42">
        <f t="shared" si="84"/>
        <v>0</v>
      </c>
      <c r="DK95" s="42">
        <f t="shared" si="84"/>
        <v>0</v>
      </c>
      <c r="DL95" s="42">
        <f t="shared" si="84"/>
        <v>0</v>
      </c>
      <c r="DM95" s="42">
        <f t="shared" si="84"/>
        <v>0</v>
      </c>
      <c r="DN95" s="42">
        <f t="shared" si="84"/>
        <v>0</v>
      </c>
      <c r="DO95" s="42">
        <f t="shared" si="84"/>
        <v>0</v>
      </c>
      <c r="DP95" s="42">
        <f t="shared" si="84"/>
        <v>0</v>
      </c>
      <c r="DQ95" s="42">
        <f t="shared" si="84"/>
        <v>0</v>
      </c>
      <c r="DR95" s="42">
        <f t="shared" si="84"/>
        <v>0</v>
      </c>
      <c r="DS95" s="42">
        <f t="shared" si="84"/>
        <v>0</v>
      </c>
      <c r="DT95" s="42">
        <f t="shared" si="84"/>
        <v>2820000</v>
      </c>
      <c r="DU95" s="42">
        <f t="shared" si="84"/>
        <v>0</v>
      </c>
      <c r="DV95" s="42">
        <f t="shared" si="84"/>
        <v>0</v>
      </c>
      <c r="DW95" s="42">
        <f t="shared" si="85"/>
        <v>0</v>
      </c>
      <c r="DX95" s="42">
        <f t="shared" si="85"/>
        <v>0</v>
      </c>
      <c r="DY95" s="42"/>
      <c r="DZ95" s="42">
        <f t="shared" si="86"/>
        <v>0</v>
      </c>
      <c r="EB95" s="47">
        <f t="shared" si="63"/>
        <v>6000000</v>
      </c>
      <c r="EC95" s="47">
        <f t="shared" si="64"/>
        <v>6000000</v>
      </c>
      <c r="ED95" s="47">
        <f t="shared" si="65"/>
        <v>6000000</v>
      </c>
      <c r="EI95" s="74">
        <f t="shared" si="87"/>
        <v>6000000</v>
      </c>
      <c r="EJ95" s="74">
        <f t="shared" si="55"/>
        <v>3180000</v>
      </c>
      <c r="EK95" s="241"/>
    </row>
    <row r="96" spans="1:141" ht="30.6" hidden="1" customHeight="1" x14ac:dyDescent="0.3">
      <c r="A96" s="106"/>
      <c r="B96" s="107"/>
      <c r="C96" s="81" t="s">
        <v>272</v>
      </c>
      <c r="D96" s="50" t="s">
        <v>273</v>
      </c>
      <c r="E96" s="79">
        <v>520</v>
      </c>
      <c r="F96" s="41" t="s">
        <v>139</v>
      </c>
      <c r="G96" s="42">
        <f t="shared" si="73"/>
        <v>260000000</v>
      </c>
      <c r="H96" s="58"/>
      <c r="I96" s="58">
        <f>100000000+150000000-20000000</f>
        <v>230000000</v>
      </c>
      <c r="J96" s="58"/>
      <c r="K96" s="58"/>
      <c r="L96" s="58"/>
      <c r="M96" s="58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>
        <v>30000000</v>
      </c>
      <c r="Z96" s="42"/>
      <c r="AA96" s="42"/>
      <c r="AB96" s="42"/>
      <c r="AC96" s="42"/>
      <c r="AD96" s="42"/>
      <c r="AE96" s="43">
        <f t="shared" si="88"/>
        <v>0.95350358461538465</v>
      </c>
      <c r="AF96" s="42">
        <f t="shared" si="74"/>
        <v>247910932</v>
      </c>
      <c r="AG96" s="42"/>
      <c r="AH96" s="42">
        <f>+'[3]NOVIEMBRE 2019'!$K$5345</f>
        <v>218312772</v>
      </c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>
        <f>+'[8]AGOSTO 2019'!$Z$3773</f>
        <v>29598160</v>
      </c>
      <c r="AY96" s="42"/>
      <c r="AZ96" s="42"/>
      <c r="BA96" s="42"/>
      <c r="BB96" s="42"/>
      <c r="BC96" s="42"/>
      <c r="BD96" s="43">
        <f t="shared" si="60"/>
        <v>4.6496415384615353E-2</v>
      </c>
      <c r="BE96" s="42">
        <f t="shared" si="75"/>
        <v>12089068</v>
      </c>
      <c r="BF96" s="42">
        <f t="shared" si="76"/>
        <v>0</v>
      </c>
      <c r="BG96" s="42">
        <f t="shared" si="76"/>
        <v>11687228</v>
      </c>
      <c r="BH96" s="42">
        <f t="shared" si="76"/>
        <v>0</v>
      </c>
      <c r="BI96" s="42">
        <f t="shared" si="77"/>
        <v>0</v>
      </c>
      <c r="BJ96" s="42">
        <f t="shared" si="78"/>
        <v>0</v>
      </c>
      <c r="BK96" s="42">
        <f t="shared" si="78"/>
        <v>0</v>
      </c>
      <c r="BL96" s="42">
        <f t="shared" si="78"/>
        <v>0</v>
      </c>
      <c r="BM96" s="42">
        <f t="shared" si="78"/>
        <v>0</v>
      </c>
      <c r="BN96" s="42">
        <f t="shared" si="78"/>
        <v>0</v>
      </c>
      <c r="BO96" s="42">
        <f t="shared" si="78"/>
        <v>0</v>
      </c>
      <c r="BP96" s="42">
        <f t="shared" si="78"/>
        <v>0</v>
      </c>
      <c r="BQ96" s="42">
        <f t="shared" si="78"/>
        <v>0</v>
      </c>
      <c r="BR96" s="42">
        <f t="shared" si="78"/>
        <v>0</v>
      </c>
      <c r="BS96" s="42">
        <f t="shared" si="78"/>
        <v>0</v>
      </c>
      <c r="BT96" s="42">
        <f t="shared" si="78"/>
        <v>0</v>
      </c>
      <c r="BU96" s="42">
        <f t="shared" si="78"/>
        <v>0</v>
      </c>
      <c r="BV96" s="42">
        <f t="shared" si="78"/>
        <v>0</v>
      </c>
      <c r="BW96" s="42">
        <f t="shared" si="78"/>
        <v>401840</v>
      </c>
      <c r="BX96" s="42">
        <f t="shared" si="78"/>
        <v>0</v>
      </c>
      <c r="BY96" s="42">
        <f t="shared" si="78"/>
        <v>0</v>
      </c>
      <c r="BZ96" s="42">
        <f t="shared" si="79"/>
        <v>0</v>
      </c>
      <c r="CA96" s="42"/>
      <c r="CB96" s="42">
        <f t="shared" si="80"/>
        <v>0</v>
      </c>
      <c r="CC96" s="43">
        <f t="shared" si="61"/>
        <v>0.84848681538461534</v>
      </c>
      <c r="CD96" s="42">
        <f t="shared" si="81"/>
        <v>220606572</v>
      </c>
      <c r="CE96" s="42"/>
      <c r="CF96" s="42">
        <f>+'[3]NOVIEMBRE 2019'!$H$5343-'[3]NOVIEMBRE 2019'!$AA$5345</f>
        <v>191008412</v>
      </c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>
        <f>+'[3]NOVIEMBRE 2019'!$AA$5345</f>
        <v>29598160</v>
      </c>
      <c r="CW96" s="42"/>
      <c r="CX96" s="42"/>
      <c r="CY96" s="42"/>
      <c r="CZ96" s="42"/>
      <c r="DA96" s="42"/>
      <c r="DB96" s="43">
        <f t="shared" si="62"/>
        <v>0.15151318461538466</v>
      </c>
      <c r="DC96" s="42">
        <f t="shared" si="82"/>
        <v>39393428</v>
      </c>
      <c r="DD96" s="42">
        <f t="shared" si="83"/>
        <v>0</v>
      </c>
      <c r="DE96" s="42">
        <f t="shared" si="83"/>
        <v>38991588</v>
      </c>
      <c r="DF96" s="42"/>
      <c r="DG96" s="42">
        <f t="shared" si="84"/>
        <v>0</v>
      </c>
      <c r="DH96" s="42">
        <f t="shared" si="84"/>
        <v>0</v>
      </c>
      <c r="DI96" s="42">
        <f t="shared" si="84"/>
        <v>0</v>
      </c>
      <c r="DJ96" s="42">
        <f t="shared" si="84"/>
        <v>0</v>
      </c>
      <c r="DK96" s="42">
        <f t="shared" si="84"/>
        <v>0</v>
      </c>
      <c r="DL96" s="42">
        <f t="shared" si="84"/>
        <v>0</v>
      </c>
      <c r="DM96" s="42">
        <f t="shared" si="84"/>
        <v>0</v>
      </c>
      <c r="DN96" s="42">
        <f t="shared" si="84"/>
        <v>0</v>
      </c>
      <c r="DO96" s="42">
        <f t="shared" si="84"/>
        <v>0</v>
      </c>
      <c r="DP96" s="42">
        <f t="shared" si="84"/>
        <v>0</v>
      </c>
      <c r="DQ96" s="42">
        <f t="shared" si="84"/>
        <v>0</v>
      </c>
      <c r="DR96" s="42">
        <f t="shared" si="84"/>
        <v>0</v>
      </c>
      <c r="DS96" s="42">
        <f t="shared" si="84"/>
        <v>0</v>
      </c>
      <c r="DT96" s="42">
        <f t="shared" si="84"/>
        <v>0</v>
      </c>
      <c r="DU96" s="42">
        <f t="shared" si="84"/>
        <v>401840</v>
      </c>
      <c r="DV96" s="42">
        <f t="shared" si="84"/>
        <v>0</v>
      </c>
      <c r="DW96" s="42">
        <f t="shared" si="85"/>
        <v>0</v>
      </c>
      <c r="DX96" s="42">
        <f t="shared" si="85"/>
        <v>0</v>
      </c>
      <c r="DY96" s="42"/>
      <c r="DZ96" s="42">
        <f t="shared" si="86"/>
        <v>0</v>
      </c>
      <c r="EB96" s="47">
        <f t="shared" si="63"/>
        <v>260000000</v>
      </c>
      <c r="EC96" s="47">
        <f t="shared" si="64"/>
        <v>260000000</v>
      </c>
      <c r="ED96" s="47">
        <f t="shared" si="65"/>
        <v>260000000</v>
      </c>
      <c r="EI96" s="74">
        <f t="shared" si="87"/>
        <v>260000000</v>
      </c>
      <c r="EJ96" s="74">
        <f t="shared" si="55"/>
        <v>220606572</v>
      </c>
      <c r="EK96" s="241"/>
    </row>
    <row r="97" spans="1:141" ht="17.399999999999999" hidden="1" customHeight="1" x14ac:dyDescent="0.3">
      <c r="A97" s="94" t="s">
        <v>236</v>
      </c>
      <c r="B97" s="83" t="s">
        <v>274</v>
      </c>
      <c r="C97" s="55" t="s">
        <v>275</v>
      </c>
      <c r="D97" s="39" t="s">
        <v>276</v>
      </c>
      <c r="E97" s="40">
        <v>520</v>
      </c>
      <c r="F97" s="41" t="s">
        <v>139</v>
      </c>
      <c r="G97" s="42">
        <f t="shared" si="73"/>
        <v>40000000</v>
      </c>
      <c r="H97" s="58"/>
      <c r="I97" s="42">
        <v>25000000</v>
      </c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>
        <f>5000000+10000000</f>
        <v>15000000</v>
      </c>
      <c r="Y97" s="42"/>
      <c r="Z97" s="42"/>
      <c r="AA97" s="42"/>
      <c r="AB97" s="42"/>
      <c r="AC97" s="42"/>
      <c r="AD97" s="42"/>
      <c r="AE97" s="43">
        <f t="shared" si="88"/>
        <v>0.99999994999999997</v>
      </c>
      <c r="AF97" s="42">
        <f t="shared" si="74"/>
        <v>39999998</v>
      </c>
      <c r="AG97" s="42"/>
      <c r="AH97" s="42">
        <f>+'[4]JULIO 2019'!$K$3507</f>
        <v>24999998</v>
      </c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>
        <f>+'[8]AGOSTO 2019'!$Y$3983</f>
        <v>15000000</v>
      </c>
      <c r="AX97" s="42"/>
      <c r="AY97" s="42"/>
      <c r="AZ97" s="42"/>
      <c r="BA97" s="42"/>
      <c r="BB97" s="42"/>
      <c r="BC97" s="42"/>
      <c r="BD97" s="43">
        <f t="shared" si="60"/>
        <v>5.0000000029193359E-8</v>
      </c>
      <c r="BE97" s="42">
        <f t="shared" si="75"/>
        <v>2</v>
      </c>
      <c r="BF97" s="42">
        <f t="shared" si="76"/>
        <v>0</v>
      </c>
      <c r="BG97" s="42">
        <f t="shared" si="76"/>
        <v>2</v>
      </c>
      <c r="BH97" s="42">
        <f t="shared" si="76"/>
        <v>0</v>
      </c>
      <c r="BI97" s="42">
        <f t="shared" si="77"/>
        <v>0</v>
      </c>
      <c r="BJ97" s="42">
        <f t="shared" si="78"/>
        <v>0</v>
      </c>
      <c r="BK97" s="42">
        <f t="shared" si="78"/>
        <v>0</v>
      </c>
      <c r="BL97" s="42">
        <f t="shared" si="78"/>
        <v>0</v>
      </c>
      <c r="BM97" s="42">
        <f t="shared" si="78"/>
        <v>0</v>
      </c>
      <c r="BN97" s="42">
        <f t="shared" si="78"/>
        <v>0</v>
      </c>
      <c r="BO97" s="42">
        <f t="shared" si="78"/>
        <v>0</v>
      </c>
      <c r="BP97" s="42">
        <f t="shared" si="78"/>
        <v>0</v>
      </c>
      <c r="BQ97" s="42">
        <f t="shared" si="78"/>
        <v>0</v>
      </c>
      <c r="BR97" s="42">
        <f t="shared" si="78"/>
        <v>0</v>
      </c>
      <c r="BS97" s="42">
        <f t="shared" si="78"/>
        <v>0</v>
      </c>
      <c r="BT97" s="42">
        <f t="shared" si="78"/>
        <v>0</v>
      </c>
      <c r="BU97" s="42">
        <f t="shared" si="78"/>
        <v>0</v>
      </c>
      <c r="BV97" s="42">
        <f t="shared" si="78"/>
        <v>0</v>
      </c>
      <c r="BW97" s="42">
        <f t="shared" si="78"/>
        <v>0</v>
      </c>
      <c r="BX97" s="42">
        <f t="shared" si="78"/>
        <v>0</v>
      </c>
      <c r="BY97" s="42">
        <f t="shared" ref="BY97:BY101" si="89">AA97-AZ97</f>
        <v>0</v>
      </c>
      <c r="BZ97" s="42">
        <f t="shared" si="79"/>
        <v>0</v>
      </c>
      <c r="CA97" s="42"/>
      <c r="CB97" s="42">
        <f t="shared" si="80"/>
        <v>0</v>
      </c>
      <c r="CC97" s="43">
        <f t="shared" si="61"/>
        <v>0.99982660000000001</v>
      </c>
      <c r="CD97" s="42">
        <f t="shared" si="81"/>
        <v>39993064</v>
      </c>
      <c r="CE97" s="42"/>
      <c r="CF97" s="42">
        <f>+'[2]SEPTIEMBRE 2019'!$H$4624+'[2]SEPTIEMBRE 2019'!$H$4627</f>
        <v>24999998</v>
      </c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>
        <f>+'[2]SEPTIEMBRE 2019'!$H$4630</f>
        <v>14993066</v>
      </c>
      <c r="CV97" s="42"/>
      <c r="CW97" s="42"/>
      <c r="CX97" s="42"/>
      <c r="CY97" s="42"/>
      <c r="CZ97" s="42"/>
      <c r="DA97" s="42"/>
      <c r="DB97" s="43">
        <f t="shared" si="62"/>
        <v>1.7339999999999023E-4</v>
      </c>
      <c r="DC97" s="42">
        <f t="shared" si="82"/>
        <v>6936</v>
      </c>
      <c r="DD97" s="42">
        <f t="shared" si="83"/>
        <v>0</v>
      </c>
      <c r="DE97" s="42">
        <f t="shared" si="83"/>
        <v>2</v>
      </c>
      <c r="DF97" s="42"/>
      <c r="DG97" s="42">
        <f t="shared" si="84"/>
        <v>0</v>
      </c>
      <c r="DH97" s="42">
        <f t="shared" si="84"/>
        <v>0</v>
      </c>
      <c r="DI97" s="42">
        <f t="shared" si="84"/>
        <v>0</v>
      </c>
      <c r="DJ97" s="42">
        <f t="shared" si="84"/>
        <v>0</v>
      </c>
      <c r="DK97" s="42">
        <f t="shared" si="84"/>
        <v>0</v>
      </c>
      <c r="DL97" s="42">
        <f t="shared" si="84"/>
        <v>0</v>
      </c>
      <c r="DM97" s="42">
        <f t="shared" si="84"/>
        <v>0</v>
      </c>
      <c r="DN97" s="42">
        <f t="shared" si="84"/>
        <v>0</v>
      </c>
      <c r="DO97" s="42">
        <f t="shared" si="84"/>
        <v>0</v>
      </c>
      <c r="DP97" s="42">
        <f t="shared" si="84"/>
        <v>0</v>
      </c>
      <c r="DQ97" s="42">
        <f t="shared" si="84"/>
        <v>0</v>
      </c>
      <c r="DR97" s="42">
        <f t="shared" si="84"/>
        <v>0</v>
      </c>
      <c r="DS97" s="42">
        <f t="shared" si="84"/>
        <v>0</v>
      </c>
      <c r="DT97" s="42">
        <f t="shared" si="84"/>
        <v>6934</v>
      </c>
      <c r="DU97" s="42">
        <f t="shared" si="84"/>
        <v>0</v>
      </c>
      <c r="DV97" s="42">
        <f t="shared" ref="DV97:DV104" si="90">Z97-CW97</f>
        <v>0</v>
      </c>
      <c r="DW97" s="42">
        <f t="shared" si="85"/>
        <v>0</v>
      </c>
      <c r="DX97" s="42">
        <f t="shared" si="85"/>
        <v>0</v>
      </c>
      <c r="DY97" s="42"/>
      <c r="DZ97" s="42">
        <f t="shared" si="86"/>
        <v>0</v>
      </c>
      <c r="EB97" s="47">
        <f t="shared" si="63"/>
        <v>40000000</v>
      </c>
      <c r="EC97" s="47">
        <f t="shared" si="64"/>
        <v>40000000</v>
      </c>
      <c r="ED97" s="47">
        <f t="shared" si="65"/>
        <v>40000000</v>
      </c>
      <c r="EI97" s="74">
        <f t="shared" si="87"/>
        <v>40000000</v>
      </c>
      <c r="EJ97" s="74">
        <f t="shared" si="55"/>
        <v>39993064</v>
      </c>
      <c r="EK97" s="241"/>
    </row>
    <row r="98" spans="1:141" ht="18" hidden="1" customHeight="1" x14ac:dyDescent="0.3">
      <c r="A98" s="100"/>
      <c r="B98" s="86"/>
      <c r="C98" s="55" t="s">
        <v>277</v>
      </c>
      <c r="D98" s="39" t="s">
        <v>278</v>
      </c>
      <c r="E98" s="40">
        <v>520</v>
      </c>
      <c r="F98" s="41" t="s">
        <v>139</v>
      </c>
      <c r="G98" s="42">
        <f t="shared" si="73"/>
        <v>80000000</v>
      </c>
      <c r="H98" s="58"/>
      <c r="I98" s="42">
        <v>40000000</v>
      </c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77"/>
      <c r="Y98" s="42"/>
      <c r="Z98" s="42">
        <v>40000000</v>
      </c>
      <c r="AA98" s="42"/>
      <c r="AB98" s="42"/>
      <c r="AC98" s="42"/>
      <c r="AD98" s="42"/>
      <c r="AE98" s="43">
        <f t="shared" si="88"/>
        <v>0.97737972500000003</v>
      </c>
      <c r="AF98" s="42">
        <f t="shared" si="74"/>
        <v>78190378</v>
      </c>
      <c r="AG98" s="42"/>
      <c r="AH98" s="42">
        <f>+'[6]MARZO 2019'!$K$1706</f>
        <v>39433571</v>
      </c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>
        <f>+'[3]NOVIEMBRE 2019'!$AB$5774</f>
        <v>38756807</v>
      </c>
      <c r="AZ98" s="42"/>
      <c r="BA98" s="42"/>
      <c r="BB98" s="42"/>
      <c r="BC98" s="42"/>
      <c r="BD98" s="43">
        <f t="shared" si="60"/>
        <v>2.2620274999999967E-2</v>
      </c>
      <c r="BE98" s="42">
        <f t="shared" si="75"/>
        <v>1809622</v>
      </c>
      <c r="BF98" s="42">
        <f t="shared" si="76"/>
        <v>0</v>
      </c>
      <c r="BG98" s="42">
        <f t="shared" si="76"/>
        <v>566429</v>
      </c>
      <c r="BH98" s="42">
        <f t="shared" si="76"/>
        <v>0</v>
      </c>
      <c r="BI98" s="42">
        <f t="shared" si="77"/>
        <v>0</v>
      </c>
      <c r="BJ98" s="42">
        <f t="shared" ref="BJ98:BX101" si="91">L98-AK98</f>
        <v>0</v>
      </c>
      <c r="BK98" s="42">
        <f t="shared" si="91"/>
        <v>0</v>
      </c>
      <c r="BL98" s="42">
        <f t="shared" si="91"/>
        <v>0</v>
      </c>
      <c r="BM98" s="42">
        <f t="shared" si="91"/>
        <v>0</v>
      </c>
      <c r="BN98" s="42">
        <f t="shared" si="91"/>
        <v>0</v>
      </c>
      <c r="BO98" s="42">
        <f t="shared" si="91"/>
        <v>0</v>
      </c>
      <c r="BP98" s="42">
        <f t="shared" si="91"/>
        <v>0</v>
      </c>
      <c r="BQ98" s="42">
        <f t="shared" si="91"/>
        <v>0</v>
      </c>
      <c r="BR98" s="42">
        <f t="shared" si="91"/>
        <v>0</v>
      </c>
      <c r="BS98" s="42">
        <f t="shared" si="91"/>
        <v>0</v>
      </c>
      <c r="BT98" s="42">
        <f t="shared" si="91"/>
        <v>0</v>
      </c>
      <c r="BU98" s="42">
        <f t="shared" si="91"/>
        <v>0</v>
      </c>
      <c r="BV98" s="42">
        <f t="shared" si="91"/>
        <v>0</v>
      </c>
      <c r="BW98" s="42">
        <f t="shared" si="91"/>
        <v>0</v>
      </c>
      <c r="BX98" s="42">
        <f t="shared" si="91"/>
        <v>1243193</v>
      </c>
      <c r="BY98" s="42">
        <f t="shared" si="89"/>
        <v>0</v>
      </c>
      <c r="BZ98" s="42">
        <f t="shared" si="79"/>
        <v>0</v>
      </c>
      <c r="CA98" s="42"/>
      <c r="CB98" s="42">
        <f t="shared" si="80"/>
        <v>0</v>
      </c>
      <c r="CC98" s="43">
        <f t="shared" si="61"/>
        <v>0.97737972500000003</v>
      </c>
      <c r="CD98" s="42">
        <f t="shared" si="81"/>
        <v>78190378</v>
      </c>
      <c r="CE98" s="42"/>
      <c r="CF98" s="42">
        <f>+'[3]NOVIEMBRE 2019'!$H$5775+'[3]NOVIEMBRE 2019'!$H$5780+'[3]NOVIEMBRE 2019'!$H$5782+'[3]NOVIEMBRE 2019'!$H$5783</f>
        <v>39433571</v>
      </c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>
        <f>+'[3]NOVIEMBRE 2019'!$H$5772-CF98</f>
        <v>38756807</v>
      </c>
      <c r="CX98" s="42"/>
      <c r="CY98" s="42"/>
      <c r="CZ98" s="42"/>
      <c r="DA98" s="42"/>
      <c r="DB98" s="43">
        <f t="shared" si="62"/>
        <v>2.2620274999999967E-2</v>
      </c>
      <c r="DC98" s="42">
        <f t="shared" si="82"/>
        <v>1809622</v>
      </c>
      <c r="DD98" s="42">
        <f t="shared" si="83"/>
        <v>0</v>
      </c>
      <c r="DE98" s="42">
        <f t="shared" si="83"/>
        <v>566429</v>
      </c>
      <c r="DF98" s="42"/>
      <c r="DG98" s="42">
        <f t="shared" ref="DG98:DU104" si="92">K98-CH98</f>
        <v>0</v>
      </c>
      <c r="DH98" s="42">
        <f t="shared" si="92"/>
        <v>0</v>
      </c>
      <c r="DI98" s="42">
        <f t="shared" si="92"/>
        <v>0</v>
      </c>
      <c r="DJ98" s="42">
        <f t="shared" si="92"/>
        <v>0</v>
      </c>
      <c r="DK98" s="42">
        <f t="shared" si="92"/>
        <v>0</v>
      </c>
      <c r="DL98" s="42">
        <f t="shared" si="92"/>
        <v>0</v>
      </c>
      <c r="DM98" s="42">
        <f t="shared" si="92"/>
        <v>0</v>
      </c>
      <c r="DN98" s="42">
        <f t="shared" si="92"/>
        <v>0</v>
      </c>
      <c r="DO98" s="42">
        <f t="shared" si="92"/>
        <v>0</v>
      </c>
      <c r="DP98" s="42">
        <f t="shared" si="92"/>
        <v>0</v>
      </c>
      <c r="DQ98" s="42">
        <f t="shared" si="92"/>
        <v>0</v>
      </c>
      <c r="DR98" s="42">
        <f t="shared" si="92"/>
        <v>0</v>
      </c>
      <c r="DS98" s="42">
        <f t="shared" si="92"/>
        <v>0</v>
      </c>
      <c r="DT98" s="42">
        <f t="shared" si="92"/>
        <v>0</v>
      </c>
      <c r="DU98" s="42">
        <f t="shared" si="92"/>
        <v>0</v>
      </c>
      <c r="DV98" s="42">
        <f t="shared" si="90"/>
        <v>1243193</v>
      </c>
      <c r="DW98" s="42">
        <f t="shared" si="85"/>
        <v>0</v>
      </c>
      <c r="DX98" s="42">
        <f t="shared" si="85"/>
        <v>0</v>
      </c>
      <c r="DY98" s="42"/>
      <c r="DZ98" s="42">
        <f t="shared" si="86"/>
        <v>0</v>
      </c>
      <c r="EB98" s="47">
        <f t="shared" si="63"/>
        <v>80000000</v>
      </c>
      <c r="EC98" s="47">
        <f t="shared" si="64"/>
        <v>80000000</v>
      </c>
      <c r="ED98" s="47">
        <f t="shared" si="65"/>
        <v>80000000</v>
      </c>
      <c r="EI98" s="74">
        <f t="shared" si="87"/>
        <v>80000000</v>
      </c>
      <c r="EJ98" s="74">
        <f t="shared" si="55"/>
        <v>78190378</v>
      </c>
      <c r="EK98" s="241"/>
    </row>
    <row r="99" spans="1:141" ht="29.4" hidden="1" customHeight="1" x14ac:dyDescent="0.3">
      <c r="A99" s="100"/>
      <c r="B99" s="108" t="s">
        <v>279</v>
      </c>
      <c r="C99" s="55" t="s">
        <v>280</v>
      </c>
      <c r="D99" s="39" t="s">
        <v>281</v>
      </c>
      <c r="E99" s="40">
        <v>520</v>
      </c>
      <c r="F99" s="41" t="s">
        <v>139</v>
      </c>
      <c r="G99" s="42">
        <f t="shared" si="73"/>
        <v>15000000</v>
      </c>
      <c r="H99" s="58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77">
        <v>15000000</v>
      </c>
      <c r="Y99" s="42"/>
      <c r="Z99" s="42"/>
      <c r="AA99" s="42"/>
      <c r="AB99" s="42"/>
      <c r="AC99" s="42"/>
      <c r="AD99" s="42"/>
      <c r="AE99" s="43">
        <f t="shared" si="88"/>
        <v>0.73333333333333328</v>
      </c>
      <c r="AF99" s="42">
        <f t="shared" si="74"/>
        <v>11000000</v>
      </c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>
        <f>+'[4]JULIO 2019'!$Y$3535</f>
        <v>11000000</v>
      </c>
      <c r="AX99" s="42"/>
      <c r="AY99" s="42"/>
      <c r="AZ99" s="42"/>
      <c r="BA99" s="42"/>
      <c r="BB99" s="42"/>
      <c r="BC99" s="42"/>
      <c r="BD99" s="43">
        <f t="shared" si="60"/>
        <v>0.26666666666666672</v>
      </c>
      <c r="BE99" s="42">
        <f t="shared" si="75"/>
        <v>4000000</v>
      </c>
      <c r="BF99" s="42">
        <f t="shared" si="76"/>
        <v>0</v>
      </c>
      <c r="BG99" s="42">
        <f t="shared" si="76"/>
        <v>0</v>
      </c>
      <c r="BH99" s="42">
        <f t="shared" si="76"/>
        <v>0</v>
      </c>
      <c r="BI99" s="42">
        <f t="shared" si="77"/>
        <v>0</v>
      </c>
      <c r="BJ99" s="42">
        <f t="shared" si="91"/>
        <v>0</v>
      </c>
      <c r="BK99" s="42">
        <f t="shared" si="91"/>
        <v>0</v>
      </c>
      <c r="BL99" s="42">
        <f t="shared" si="91"/>
        <v>0</v>
      </c>
      <c r="BM99" s="42">
        <f t="shared" si="91"/>
        <v>0</v>
      </c>
      <c r="BN99" s="42">
        <f t="shared" si="91"/>
        <v>0</v>
      </c>
      <c r="BO99" s="42">
        <f t="shared" si="91"/>
        <v>0</v>
      </c>
      <c r="BP99" s="42">
        <f t="shared" si="91"/>
        <v>0</v>
      </c>
      <c r="BQ99" s="42">
        <f t="shared" si="91"/>
        <v>0</v>
      </c>
      <c r="BR99" s="42">
        <f t="shared" si="91"/>
        <v>0</v>
      </c>
      <c r="BS99" s="42">
        <f t="shared" si="91"/>
        <v>0</v>
      </c>
      <c r="BT99" s="42">
        <f t="shared" si="91"/>
        <v>0</v>
      </c>
      <c r="BU99" s="42">
        <f t="shared" si="91"/>
        <v>0</v>
      </c>
      <c r="BV99" s="42">
        <f t="shared" si="91"/>
        <v>4000000</v>
      </c>
      <c r="BW99" s="42">
        <f t="shared" si="91"/>
        <v>0</v>
      </c>
      <c r="BX99" s="42">
        <f t="shared" si="91"/>
        <v>0</v>
      </c>
      <c r="BY99" s="42">
        <f t="shared" si="89"/>
        <v>0</v>
      </c>
      <c r="BZ99" s="42">
        <f t="shared" si="79"/>
        <v>0</v>
      </c>
      <c r="CA99" s="42"/>
      <c r="CB99" s="42">
        <f t="shared" si="80"/>
        <v>0</v>
      </c>
      <c r="CC99" s="43">
        <f t="shared" si="61"/>
        <v>0.73333333333333328</v>
      </c>
      <c r="CD99" s="42">
        <f t="shared" si="81"/>
        <v>11000000</v>
      </c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>
        <f>+'[4]JULIO 2019'!$H$3533</f>
        <v>11000000</v>
      </c>
      <c r="CV99" s="42"/>
      <c r="CW99" s="42"/>
      <c r="CX99" s="42"/>
      <c r="CY99" s="42"/>
      <c r="CZ99" s="42"/>
      <c r="DA99" s="42"/>
      <c r="DB99" s="43">
        <f t="shared" si="62"/>
        <v>0.26666666666666672</v>
      </c>
      <c r="DC99" s="42">
        <f t="shared" si="82"/>
        <v>4000000</v>
      </c>
      <c r="DD99" s="42">
        <f t="shared" si="83"/>
        <v>0</v>
      </c>
      <c r="DE99" s="42">
        <f t="shared" si="83"/>
        <v>0</v>
      </c>
      <c r="DF99" s="42"/>
      <c r="DG99" s="42">
        <f t="shared" si="92"/>
        <v>0</v>
      </c>
      <c r="DH99" s="42">
        <f t="shared" si="92"/>
        <v>0</v>
      </c>
      <c r="DI99" s="42">
        <f t="shared" si="92"/>
        <v>0</v>
      </c>
      <c r="DJ99" s="42">
        <f t="shared" si="92"/>
        <v>0</v>
      </c>
      <c r="DK99" s="42">
        <f t="shared" si="92"/>
        <v>0</v>
      </c>
      <c r="DL99" s="42">
        <f t="shared" si="92"/>
        <v>0</v>
      </c>
      <c r="DM99" s="42">
        <f t="shared" si="92"/>
        <v>0</v>
      </c>
      <c r="DN99" s="42">
        <f t="shared" si="92"/>
        <v>0</v>
      </c>
      <c r="DO99" s="42">
        <f t="shared" si="92"/>
        <v>0</v>
      </c>
      <c r="DP99" s="42">
        <f t="shared" si="92"/>
        <v>0</v>
      </c>
      <c r="DQ99" s="42">
        <f t="shared" si="92"/>
        <v>0</v>
      </c>
      <c r="DR99" s="42">
        <f t="shared" si="92"/>
        <v>0</v>
      </c>
      <c r="DS99" s="42">
        <f t="shared" si="92"/>
        <v>0</v>
      </c>
      <c r="DT99" s="42">
        <f t="shared" si="92"/>
        <v>4000000</v>
      </c>
      <c r="DU99" s="42">
        <f t="shared" si="92"/>
        <v>0</v>
      </c>
      <c r="DV99" s="42">
        <f t="shared" si="90"/>
        <v>0</v>
      </c>
      <c r="DW99" s="42">
        <f t="shared" si="85"/>
        <v>0</v>
      </c>
      <c r="DX99" s="42">
        <f t="shared" si="85"/>
        <v>0</v>
      </c>
      <c r="DY99" s="42"/>
      <c r="DZ99" s="42">
        <f t="shared" si="86"/>
        <v>0</v>
      </c>
      <c r="EB99" s="47">
        <f t="shared" si="63"/>
        <v>15000000</v>
      </c>
      <c r="EC99" s="47">
        <f t="shared" si="64"/>
        <v>15000000</v>
      </c>
      <c r="ED99" s="47">
        <f t="shared" si="65"/>
        <v>15000000</v>
      </c>
      <c r="EI99" s="74">
        <f t="shared" si="87"/>
        <v>15000000</v>
      </c>
      <c r="EJ99" s="74">
        <f t="shared" si="55"/>
        <v>11000000</v>
      </c>
      <c r="EK99" s="241"/>
    </row>
    <row r="100" spans="1:141" ht="19.8" hidden="1" customHeight="1" x14ac:dyDescent="0.3">
      <c r="A100" s="100"/>
      <c r="B100" s="109" t="s">
        <v>282</v>
      </c>
      <c r="C100" s="55" t="s">
        <v>283</v>
      </c>
      <c r="D100" s="108" t="s">
        <v>284</v>
      </c>
      <c r="E100" s="40">
        <v>520</v>
      </c>
      <c r="F100" s="110" t="s">
        <v>139</v>
      </c>
      <c r="G100" s="42">
        <f t="shared" si="73"/>
        <v>50000000</v>
      </c>
      <c r="H100" s="58"/>
      <c r="I100" s="42">
        <v>50000000</v>
      </c>
      <c r="J100" s="77"/>
      <c r="K100" s="77"/>
      <c r="L100" s="111"/>
      <c r="M100" s="77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77"/>
      <c r="Y100" s="42"/>
      <c r="Z100" s="42"/>
      <c r="AA100" s="58"/>
      <c r="AB100" s="58"/>
      <c r="AC100" s="58"/>
      <c r="AD100" s="112"/>
      <c r="AE100" s="43">
        <f t="shared" si="88"/>
        <v>0.96937519999999999</v>
      </c>
      <c r="AF100" s="42">
        <f t="shared" si="74"/>
        <v>48468760</v>
      </c>
      <c r="AG100" s="42"/>
      <c r="AH100" s="42">
        <f>+'[3]NOVIEMBRE 2019'!$K$5817</f>
        <v>48468760</v>
      </c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3">
        <f t="shared" si="60"/>
        <v>3.0624800000000008E-2</v>
      </c>
      <c r="BE100" s="42">
        <f t="shared" si="75"/>
        <v>1531240</v>
      </c>
      <c r="BF100" s="42">
        <f t="shared" si="76"/>
        <v>0</v>
      </c>
      <c r="BG100" s="42">
        <f t="shared" si="76"/>
        <v>1531240</v>
      </c>
      <c r="BH100" s="42">
        <f t="shared" si="76"/>
        <v>0</v>
      </c>
      <c r="BI100" s="42">
        <f t="shared" si="77"/>
        <v>0</v>
      </c>
      <c r="BJ100" s="42">
        <f t="shared" si="91"/>
        <v>0</v>
      </c>
      <c r="BK100" s="42">
        <f t="shared" si="91"/>
        <v>0</v>
      </c>
      <c r="BL100" s="42">
        <f t="shared" si="91"/>
        <v>0</v>
      </c>
      <c r="BM100" s="42">
        <f t="shared" si="91"/>
        <v>0</v>
      </c>
      <c r="BN100" s="42">
        <f t="shared" si="91"/>
        <v>0</v>
      </c>
      <c r="BO100" s="42">
        <f t="shared" si="91"/>
        <v>0</v>
      </c>
      <c r="BP100" s="42">
        <f t="shared" si="91"/>
        <v>0</v>
      </c>
      <c r="BQ100" s="42">
        <f t="shared" si="91"/>
        <v>0</v>
      </c>
      <c r="BR100" s="42">
        <f t="shared" si="91"/>
        <v>0</v>
      </c>
      <c r="BS100" s="42">
        <f t="shared" si="91"/>
        <v>0</v>
      </c>
      <c r="BT100" s="42">
        <f t="shared" si="91"/>
        <v>0</v>
      </c>
      <c r="BU100" s="42">
        <f t="shared" si="91"/>
        <v>0</v>
      </c>
      <c r="BV100" s="42">
        <f t="shared" si="91"/>
        <v>0</v>
      </c>
      <c r="BW100" s="42">
        <f t="shared" si="91"/>
        <v>0</v>
      </c>
      <c r="BX100" s="42">
        <f t="shared" si="91"/>
        <v>0</v>
      </c>
      <c r="BY100" s="42">
        <f t="shared" si="89"/>
        <v>0</v>
      </c>
      <c r="BZ100" s="42">
        <f t="shared" si="79"/>
        <v>0</v>
      </c>
      <c r="CA100" s="42"/>
      <c r="CB100" s="42">
        <f t="shared" si="80"/>
        <v>0</v>
      </c>
      <c r="CC100" s="43">
        <f t="shared" si="61"/>
        <v>0.96937519999999999</v>
      </c>
      <c r="CD100" s="42">
        <f t="shared" si="81"/>
        <v>48468760</v>
      </c>
      <c r="CE100" s="42"/>
      <c r="CF100" s="42">
        <f>+'[3]NOVIEMBRE 2019'!$H$5815</f>
        <v>48468760</v>
      </c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3">
        <f t="shared" si="62"/>
        <v>3.0624800000000008E-2</v>
      </c>
      <c r="DC100" s="42">
        <f t="shared" si="82"/>
        <v>1531240</v>
      </c>
      <c r="DD100" s="42">
        <f t="shared" si="83"/>
        <v>0</v>
      </c>
      <c r="DE100" s="42">
        <f t="shared" si="83"/>
        <v>1531240</v>
      </c>
      <c r="DF100" s="42"/>
      <c r="DG100" s="42">
        <f t="shared" si="92"/>
        <v>0</v>
      </c>
      <c r="DH100" s="42">
        <f t="shared" si="92"/>
        <v>0</v>
      </c>
      <c r="DI100" s="42">
        <f t="shared" si="92"/>
        <v>0</v>
      </c>
      <c r="DJ100" s="42">
        <f t="shared" si="92"/>
        <v>0</v>
      </c>
      <c r="DK100" s="42">
        <f t="shared" si="92"/>
        <v>0</v>
      </c>
      <c r="DL100" s="42">
        <f t="shared" si="92"/>
        <v>0</v>
      </c>
      <c r="DM100" s="42">
        <f t="shared" si="92"/>
        <v>0</v>
      </c>
      <c r="DN100" s="42">
        <f t="shared" si="92"/>
        <v>0</v>
      </c>
      <c r="DO100" s="42">
        <f t="shared" si="92"/>
        <v>0</v>
      </c>
      <c r="DP100" s="42">
        <f t="shared" si="92"/>
        <v>0</v>
      </c>
      <c r="DQ100" s="42">
        <f t="shared" si="92"/>
        <v>0</v>
      </c>
      <c r="DR100" s="42">
        <f t="shared" si="92"/>
        <v>0</v>
      </c>
      <c r="DS100" s="42">
        <f t="shared" si="92"/>
        <v>0</v>
      </c>
      <c r="DT100" s="42">
        <f t="shared" si="92"/>
        <v>0</v>
      </c>
      <c r="DU100" s="42">
        <f t="shared" si="92"/>
        <v>0</v>
      </c>
      <c r="DV100" s="42">
        <f t="shared" si="90"/>
        <v>0</v>
      </c>
      <c r="DW100" s="42">
        <f t="shared" si="85"/>
        <v>0</v>
      </c>
      <c r="DX100" s="42">
        <f t="shared" si="85"/>
        <v>0</v>
      </c>
      <c r="DY100" s="42"/>
      <c r="DZ100" s="42">
        <f t="shared" si="86"/>
        <v>0</v>
      </c>
      <c r="EB100" s="47">
        <f t="shared" si="63"/>
        <v>50000000</v>
      </c>
      <c r="EC100" s="47">
        <f t="shared" si="64"/>
        <v>50000000</v>
      </c>
      <c r="ED100" s="47">
        <f t="shared" si="65"/>
        <v>50000000</v>
      </c>
      <c r="EI100" s="74">
        <f t="shared" si="87"/>
        <v>50000000</v>
      </c>
      <c r="EJ100" s="74">
        <f t="shared" si="55"/>
        <v>48468760</v>
      </c>
      <c r="EK100" s="241"/>
    </row>
    <row r="101" spans="1:141" s="117" customFormat="1" ht="22.8" hidden="1" customHeight="1" x14ac:dyDescent="0.3">
      <c r="A101" s="100" t="s">
        <v>236</v>
      </c>
      <c r="B101" s="83" t="s">
        <v>285</v>
      </c>
      <c r="C101" s="113" t="s">
        <v>286</v>
      </c>
      <c r="D101" s="39" t="s">
        <v>287</v>
      </c>
      <c r="E101" s="114">
        <v>520</v>
      </c>
      <c r="F101" s="110" t="s">
        <v>139</v>
      </c>
      <c r="G101" s="42">
        <f t="shared" si="73"/>
        <v>0</v>
      </c>
      <c r="H101" s="58"/>
      <c r="I101" s="42"/>
      <c r="J101" s="42"/>
      <c r="K101" s="42"/>
      <c r="L101" s="58"/>
      <c r="M101" s="42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77">
        <f>5000000-5000000</f>
        <v>0</v>
      </c>
      <c r="Y101" s="42"/>
      <c r="Z101" s="42"/>
      <c r="AA101" s="42"/>
      <c r="AB101" s="42"/>
      <c r="AC101" s="42"/>
      <c r="AD101" s="42"/>
      <c r="AE101" s="115" t="e">
        <f t="shared" si="88"/>
        <v>#DIV/0!</v>
      </c>
      <c r="AF101" s="42">
        <f t="shared" si="74"/>
        <v>0</v>
      </c>
      <c r="AG101" s="116"/>
      <c r="AH101" s="116"/>
      <c r="AI101" s="116"/>
      <c r="AJ101" s="116"/>
      <c r="AK101" s="116"/>
      <c r="AL101" s="116"/>
      <c r="AM101" s="42"/>
      <c r="AN101" s="116"/>
      <c r="AO101" s="116"/>
      <c r="AP101" s="116"/>
      <c r="AQ101" s="116"/>
      <c r="AR101" s="116"/>
      <c r="AS101" s="116"/>
      <c r="AT101" s="116"/>
      <c r="AU101" s="116"/>
      <c r="AV101" s="116"/>
      <c r="AW101" s="116"/>
      <c r="AX101" s="116"/>
      <c r="AY101" s="116"/>
      <c r="AZ101" s="116"/>
      <c r="BA101" s="116"/>
      <c r="BB101" s="116"/>
      <c r="BC101" s="116"/>
      <c r="BD101" s="115" t="e">
        <f t="shared" si="60"/>
        <v>#DIV/0!</v>
      </c>
      <c r="BE101" s="42">
        <f t="shared" si="75"/>
        <v>0</v>
      </c>
      <c r="BF101" s="42">
        <f t="shared" si="76"/>
        <v>0</v>
      </c>
      <c r="BG101" s="42">
        <f t="shared" si="76"/>
        <v>0</v>
      </c>
      <c r="BH101" s="42">
        <f t="shared" si="76"/>
        <v>0</v>
      </c>
      <c r="BI101" s="42">
        <f t="shared" si="77"/>
        <v>0</v>
      </c>
      <c r="BJ101" s="42">
        <f t="shared" si="91"/>
        <v>0</v>
      </c>
      <c r="BK101" s="42">
        <f t="shared" si="91"/>
        <v>0</v>
      </c>
      <c r="BL101" s="42">
        <f t="shared" si="91"/>
        <v>0</v>
      </c>
      <c r="BM101" s="42">
        <f t="shared" si="91"/>
        <v>0</v>
      </c>
      <c r="BN101" s="42">
        <f t="shared" si="91"/>
        <v>0</v>
      </c>
      <c r="BO101" s="42">
        <f t="shared" si="91"/>
        <v>0</v>
      </c>
      <c r="BP101" s="42">
        <f t="shared" si="91"/>
        <v>0</v>
      </c>
      <c r="BQ101" s="42">
        <f t="shared" si="91"/>
        <v>0</v>
      </c>
      <c r="BR101" s="42">
        <f t="shared" si="91"/>
        <v>0</v>
      </c>
      <c r="BS101" s="42">
        <f t="shared" si="91"/>
        <v>0</v>
      </c>
      <c r="BT101" s="42">
        <f t="shared" si="91"/>
        <v>0</v>
      </c>
      <c r="BU101" s="42">
        <f t="shared" si="91"/>
        <v>0</v>
      </c>
      <c r="BV101" s="42">
        <f t="shared" si="91"/>
        <v>0</v>
      </c>
      <c r="BW101" s="42">
        <f t="shared" si="91"/>
        <v>0</v>
      </c>
      <c r="BX101" s="42">
        <f t="shared" si="91"/>
        <v>0</v>
      </c>
      <c r="BY101" s="42">
        <f t="shared" si="89"/>
        <v>0</v>
      </c>
      <c r="BZ101" s="42">
        <f t="shared" si="79"/>
        <v>0</v>
      </c>
      <c r="CA101" s="42"/>
      <c r="CB101" s="42">
        <f t="shared" si="80"/>
        <v>0</v>
      </c>
      <c r="CC101" s="115" t="e">
        <f t="shared" si="61"/>
        <v>#DIV/0!</v>
      </c>
      <c r="CD101" s="42">
        <f t="shared" si="81"/>
        <v>0</v>
      </c>
      <c r="CE101" s="116"/>
      <c r="CF101" s="116"/>
      <c r="CG101" s="116"/>
      <c r="CH101" s="116"/>
      <c r="CI101" s="116"/>
      <c r="CJ101" s="116"/>
      <c r="CK101" s="116"/>
      <c r="CL101" s="116"/>
      <c r="CM101" s="116"/>
      <c r="CN101" s="116"/>
      <c r="CO101" s="116"/>
      <c r="CP101" s="116"/>
      <c r="CQ101" s="116"/>
      <c r="CR101" s="116"/>
      <c r="CS101" s="116"/>
      <c r="CT101" s="116"/>
      <c r="CU101" s="116"/>
      <c r="CV101" s="116"/>
      <c r="CW101" s="116"/>
      <c r="CX101" s="116"/>
      <c r="CY101" s="116"/>
      <c r="CZ101" s="116"/>
      <c r="DA101" s="116"/>
      <c r="DB101" s="115" t="e">
        <f t="shared" si="62"/>
        <v>#DIV/0!</v>
      </c>
      <c r="DC101" s="42">
        <f t="shared" si="82"/>
        <v>0</v>
      </c>
      <c r="DD101" s="42">
        <f t="shared" si="83"/>
        <v>0</v>
      </c>
      <c r="DE101" s="42">
        <f t="shared" si="83"/>
        <v>0</v>
      </c>
      <c r="DF101" s="42"/>
      <c r="DG101" s="42">
        <f t="shared" si="92"/>
        <v>0</v>
      </c>
      <c r="DH101" s="42">
        <f t="shared" si="92"/>
        <v>0</v>
      </c>
      <c r="DI101" s="42">
        <f t="shared" si="92"/>
        <v>0</v>
      </c>
      <c r="DJ101" s="42">
        <f t="shared" si="92"/>
        <v>0</v>
      </c>
      <c r="DK101" s="42">
        <f t="shared" si="92"/>
        <v>0</v>
      </c>
      <c r="DL101" s="42">
        <f t="shared" si="92"/>
        <v>0</v>
      </c>
      <c r="DM101" s="42">
        <f t="shared" si="92"/>
        <v>0</v>
      </c>
      <c r="DN101" s="42">
        <f t="shared" si="92"/>
        <v>0</v>
      </c>
      <c r="DO101" s="42">
        <f t="shared" si="92"/>
        <v>0</v>
      </c>
      <c r="DP101" s="42">
        <f t="shared" si="92"/>
        <v>0</v>
      </c>
      <c r="DQ101" s="42">
        <f t="shared" si="92"/>
        <v>0</v>
      </c>
      <c r="DR101" s="42">
        <f t="shared" si="92"/>
        <v>0</v>
      </c>
      <c r="DS101" s="42">
        <f t="shared" si="92"/>
        <v>0</v>
      </c>
      <c r="DT101" s="42">
        <f t="shared" si="92"/>
        <v>0</v>
      </c>
      <c r="DU101" s="42">
        <f t="shared" si="92"/>
        <v>0</v>
      </c>
      <c r="DV101" s="42">
        <f t="shared" si="90"/>
        <v>0</v>
      </c>
      <c r="DW101" s="42">
        <f t="shared" si="85"/>
        <v>0</v>
      </c>
      <c r="DX101" s="42">
        <f t="shared" si="85"/>
        <v>0</v>
      </c>
      <c r="DY101" s="42"/>
      <c r="DZ101" s="42">
        <f t="shared" si="86"/>
        <v>0</v>
      </c>
      <c r="EB101" s="47">
        <f t="shared" si="63"/>
        <v>0</v>
      </c>
      <c r="EC101" s="47">
        <f t="shared" si="64"/>
        <v>0</v>
      </c>
      <c r="ED101" s="47">
        <f t="shared" si="65"/>
        <v>0</v>
      </c>
      <c r="EI101" s="74">
        <f t="shared" si="87"/>
        <v>0</v>
      </c>
      <c r="EJ101" s="74">
        <f t="shared" si="55"/>
        <v>0</v>
      </c>
      <c r="EK101" s="241"/>
    </row>
    <row r="102" spans="1:141" s="117" customFormat="1" ht="45.6" hidden="1" customHeight="1" x14ac:dyDescent="0.3">
      <c r="A102" s="100"/>
      <c r="B102" s="86"/>
      <c r="C102" s="113" t="s">
        <v>288</v>
      </c>
      <c r="D102" s="39" t="s">
        <v>289</v>
      </c>
      <c r="E102" s="114">
        <v>520</v>
      </c>
      <c r="F102" s="110" t="s">
        <v>139</v>
      </c>
      <c r="G102" s="42">
        <f t="shared" si="73"/>
        <v>114000000</v>
      </c>
      <c r="H102" s="58"/>
      <c r="I102" s="42"/>
      <c r="J102" s="77"/>
      <c r="K102" s="42">
        <v>114000000</v>
      </c>
      <c r="L102" s="111"/>
      <c r="M102" s="77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77">
        <f>10000000-10000000</f>
        <v>0</v>
      </c>
      <c r="Y102" s="42"/>
      <c r="Z102" s="42"/>
      <c r="AA102" s="42"/>
      <c r="AB102" s="42"/>
      <c r="AC102" s="42"/>
      <c r="AD102" s="42"/>
      <c r="AE102" s="115">
        <f t="shared" si="88"/>
        <v>1</v>
      </c>
      <c r="AF102" s="42">
        <f t="shared" si="74"/>
        <v>114000000</v>
      </c>
      <c r="AG102" s="116"/>
      <c r="AH102" s="116"/>
      <c r="AI102" s="116"/>
      <c r="AJ102" s="116">
        <f>+'[3]NOVIEMBRE 2019'!$L$5838</f>
        <v>114000000</v>
      </c>
      <c r="AK102" s="116"/>
      <c r="AL102" s="116"/>
      <c r="AM102" s="42"/>
      <c r="AN102" s="116"/>
      <c r="AO102" s="116"/>
      <c r="AP102" s="116"/>
      <c r="AQ102" s="116"/>
      <c r="AR102" s="116"/>
      <c r="AS102" s="116"/>
      <c r="AT102" s="116"/>
      <c r="AU102" s="116"/>
      <c r="AV102" s="116"/>
      <c r="AW102" s="116"/>
      <c r="AX102" s="116"/>
      <c r="AY102" s="116"/>
      <c r="AZ102" s="116"/>
      <c r="BA102" s="116"/>
      <c r="BB102" s="116"/>
      <c r="BC102" s="116"/>
      <c r="BD102" s="115">
        <f t="shared" si="60"/>
        <v>0</v>
      </c>
      <c r="BE102" s="42">
        <f t="shared" si="75"/>
        <v>0</v>
      </c>
      <c r="BF102" s="42"/>
      <c r="BG102" s="42"/>
      <c r="BH102" s="42"/>
      <c r="BI102" s="42">
        <f t="shared" si="77"/>
        <v>0</v>
      </c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>
        <f>X102-AW102</f>
        <v>0</v>
      </c>
      <c r="BW102" s="42"/>
      <c r="BX102" s="42"/>
      <c r="BY102" s="42"/>
      <c r="BZ102" s="42"/>
      <c r="CA102" s="42"/>
      <c r="CB102" s="42"/>
      <c r="CC102" s="115">
        <f t="shared" si="61"/>
        <v>0</v>
      </c>
      <c r="CD102" s="42">
        <f t="shared" si="81"/>
        <v>0</v>
      </c>
      <c r="CE102" s="116"/>
      <c r="CF102" s="116"/>
      <c r="CG102" s="116"/>
      <c r="CH102" s="116"/>
      <c r="CI102" s="116"/>
      <c r="CJ102" s="116"/>
      <c r="CK102" s="116"/>
      <c r="CL102" s="116"/>
      <c r="CM102" s="116"/>
      <c r="CN102" s="116"/>
      <c r="CO102" s="116"/>
      <c r="CP102" s="116"/>
      <c r="CQ102" s="116"/>
      <c r="CR102" s="116"/>
      <c r="CS102" s="116"/>
      <c r="CT102" s="116"/>
      <c r="CU102" s="116"/>
      <c r="CV102" s="116"/>
      <c r="CW102" s="116"/>
      <c r="CX102" s="116"/>
      <c r="CY102" s="116"/>
      <c r="CZ102" s="116"/>
      <c r="DA102" s="116"/>
      <c r="DB102" s="115">
        <f t="shared" si="62"/>
        <v>1</v>
      </c>
      <c r="DC102" s="42">
        <f t="shared" si="82"/>
        <v>114000000</v>
      </c>
      <c r="DD102" s="42">
        <f t="shared" si="83"/>
        <v>0</v>
      </c>
      <c r="DE102" s="42">
        <f t="shared" si="83"/>
        <v>0</v>
      </c>
      <c r="DF102" s="42"/>
      <c r="DG102" s="42">
        <f t="shared" si="92"/>
        <v>114000000</v>
      </c>
      <c r="DH102" s="42">
        <f t="shared" si="92"/>
        <v>0</v>
      </c>
      <c r="DI102" s="42">
        <f t="shared" si="92"/>
        <v>0</v>
      </c>
      <c r="DJ102" s="42">
        <f t="shared" si="92"/>
        <v>0</v>
      </c>
      <c r="DK102" s="42">
        <f t="shared" si="92"/>
        <v>0</v>
      </c>
      <c r="DL102" s="42">
        <f t="shared" si="92"/>
        <v>0</v>
      </c>
      <c r="DM102" s="42">
        <f t="shared" si="92"/>
        <v>0</v>
      </c>
      <c r="DN102" s="42">
        <f t="shared" si="92"/>
        <v>0</v>
      </c>
      <c r="DO102" s="42">
        <f t="shared" si="92"/>
        <v>0</v>
      </c>
      <c r="DP102" s="42">
        <f t="shared" si="92"/>
        <v>0</v>
      </c>
      <c r="DQ102" s="42">
        <f t="shared" si="92"/>
        <v>0</v>
      </c>
      <c r="DR102" s="42">
        <f t="shared" si="92"/>
        <v>0</v>
      </c>
      <c r="DS102" s="42">
        <f t="shared" si="92"/>
        <v>0</v>
      </c>
      <c r="DT102" s="42">
        <f t="shared" si="92"/>
        <v>0</v>
      </c>
      <c r="DU102" s="42">
        <f t="shared" si="92"/>
        <v>0</v>
      </c>
      <c r="DV102" s="42">
        <f t="shared" si="90"/>
        <v>0</v>
      </c>
      <c r="DW102" s="42">
        <f t="shared" si="85"/>
        <v>0</v>
      </c>
      <c r="DX102" s="42">
        <f t="shared" si="85"/>
        <v>0</v>
      </c>
      <c r="DY102" s="42"/>
      <c r="DZ102" s="42">
        <f t="shared" si="86"/>
        <v>0</v>
      </c>
      <c r="EB102" s="47">
        <f t="shared" si="63"/>
        <v>114000000</v>
      </c>
      <c r="EC102" s="47">
        <f t="shared" si="64"/>
        <v>114000000</v>
      </c>
      <c r="ED102" s="47">
        <f t="shared" si="65"/>
        <v>114000000</v>
      </c>
      <c r="EI102" s="74">
        <f t="shared" si="87"/>
        <v>114000000</v>
      </c>
      <c r="EJ102" s="74">
        <f t="shared" si="55"/>
        <v>0</v>
      </c>
      <c r="EK102" s="241"/>
    </row>
    <row r="103" spans="1:141" ht="27" hidden="1" customHeight="1" x14ac:dyDescent="0.3">
      <c r="A103" s="100"/>
      <c r="B103" s="118" t="s">
        <v>290</v>
      </c>
      <c r="C103" s="55" t="s">
        <v>291</v>
      </c>
      <c r="D103" s="39" t="s">
        <v>292</v>
      </c>
      <c r="E103" s="40">
        <v>520</v>
      </c>
      <c r="F103" s="110" t="s">
        <v>293</v>
      </c>
      <c r="G103" s="42">
        <f t="shared" si="73"/>
        <v>326988146</v>
      </c>
      <c r="H103" s="58"/>
      <c r="I103" s="42">
        <v>200000000</v>
      </c>
      <c r="J103" s="77"/>
      <c r="K103" s="77"/>
      <c r="L103" s="77"/>
      <c r="M103" s="77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77"/>
      <c r="Y103" s="42">
        <v>50000000</v>
      </c>
      <c r="Z103" s="42">
        <f>10000000+30000000+20000000</f>
        <v>60000000</v>
      </c>
      <c r="AA103" s="42"/>
      <c r="AB103" s="42"/>
      <c r="AC103" s="42"/>
      <c r="AD103" s="42">
        <f>8000000+8988146</f>
        <v>16988146</v>
      </c>
      <c r="AE103" s="43">
        <f t="shared" si="88"/>
        <v>1</v>
      </c>
      <c r="AF103" s="42">
        <f t="shared" si="74"/>
        <v>326988146</v>
      </c>
      <c r="AG103" s="42"/>
      <c r="AH103" s="42">
        <f>+'[3]NOVIEMBRE 2019'!$K$5846</f>
        <v>200000000</v>
      </c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>
        <f>+'[5]JUNIO 2019'!$Z$2879</f>
        <v>50000000</v>
      </c>
      <c r="AY103" s="42">
        <f>+'[3]NOVIEMBRE 2019'!$AB$5846</f>
        <v>60000000</v>
      </c>
      <c r="AZ103" s="42"/>
      <c r="BA103" s="42"/>
      <c r="BB103" s="42"/>
      <c r="BC103" s="42">
        <f>+'[4]JULIO 2019'!$AF$3568</f>
        <v>16988146</v>
      </c>
      <c r="BD103" s="43">
        <f t="shared" si="60"/>
        <v>0</v>
      </c>
      <c r="BE103" s="42">
        <f t="shared" si="75"/>
        <v>0</v>
      </c>
      <c r="BF103" s="42">
        <f t="shared" ref="BF103:BH104" si="93">H103-AG103</f>
        <v>0</v>
      </c>
      <c r="BG103" s="42">
        <f t="shared" si="93"/>
        <v>0</v>
      </c>
      <c r="BH103" s="42">
        <f t="shared" si="93"/>
        <v>0</v>
      </c>
      <c r="BI103" s="42">
        <f t="shared" si="77"/>
        <v>0</v>
      </c>
      <c r="BJ103" s="42">
        <f t="shared" ref="BJ103:BU104" si="94">L103-AK103</f>
        <v>0</v>
      </c>
      <c r="BK103" s="42">
        <f t="shared" si="94"/>
        <v>0</v>
      </c>
      <c r="BL103" s="42">
        <f t="shared" si="94"/>
        <v>0</v>
      </c>
      <c r="BM103" s="42">
        <f t="shared" si="94"/>
        <v>0</v>
      </c>
      <c r="BN103" s="42">
        <f t="shared" si="94"/>
        <v>0</v>
      </c>
      <c r="BO103" s="42">
        <f t="shared" si="94"/>
        <v>0</v>
      </c>
      <c r="BP103" s="42">
        <f t="shared" si="94"/>
        <v>0</v>
      </c>
      <c r="BQ103" s="42">
        <f t="shared" si="94"/>
        <v>0</v>
      </c>
      <c r="BR103" s="42">
        <f t="shared" si="94"/>
        <v>0</v>
      </c>
      <c r="BS103" s="42">
        <f t="shared" si="94"/>
        <v>0</v>
      </c>
      <c r="BT103" s="42">
        <f t="shared" si="94"/>
        <v>0</v>
      </c>
      <c r="BU103" s="42">
        <f t="shared" si="94"/>
        <v>0</v>
      </c>
      <c r="BV103" s="42">
        <f>X103-AW103</f>
        <v>0</v>
      </c>
      <c r="BW103" s="42">
        <f t="shared" ref="BW103:BZ104" si="95">Y103-AX103</f>
        <v>0</v>
      </c>
      <c r="BX103" s="42">
        <f t="shared" si="95"/>
        <v>0</v>
      </c>
      <c r="BY103" s="42">
        <f t="shared" si="95"/>
        <v>0</v>
      </c>
      <c r="BZ103" s="42">
        <f t="shared" si="95"/>
        <v>0</v>
      </c>
      <c r="CA103" s="42"/>
      <c r="CB103" s="42">
        <f>AD103-BC103</f>
        <v>0</v>
      </c>
      <c r="CC103" s="43">
        <f t="shared" si="61"/>
        <v>0.90569650803182322</v>
      </c>
      <c r="CD103" s="42">
        <f t="shared" si="81"/>
        <v>296152022</v>
      </c>
      <c r="CE103" s="42"/>
      <c r="CF103" s="42">
        <f>+'[3]NOVIEMBRE 2019'!$H$5847+'[3]NOVIEMBRE 2019'!$H$5866+'[3]NOVIEMBRE 2019'!$H$5873+'[3]NOVIEMBRE 2019'!$H$5877+'[3]NOVIEMBRE 2019'!$H$5879+'[3]NOVIEMBRE 2019'!$H$5881+'[3]NOVIEMBRE 2019'!$H$5883+'[3]NOVIEMBRE 2019'!$H$5897+'[3]NOVIEMBRE 2019'!$H$5915</f>
        <v>196557218</v>
      </c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>
        <f>+'[3]NOVIEMBRE 2019'!$H$5887+'[3]NOVIEMBRE 2019'!$H$5888</f>
        <v>49996663</v>
      </c>
      <c r="CW103" s="42">
        <f>+'[3]NOVIEMBRE 2019'!$H$5919+'[3]NOVIEMBRE 2019'!$H$5908+'[3]NOVIEMBRE 2019'!$H$5905</f>
        <v>32609995</v>
      </c>
      <c r="CX103" s="42"/>
      <c r="CY103" s="42"/>
      <c r="CZ103" s="42"/>
      <c r="DA103" s="42">
        <f>+'[3]NOVIEMBRE 2019'!$H$5863+'[3]NOVIEMBRE 2019'!$H$5884+'[3]NOVIEMBRE 2019'!$H$5901</f>
        <v>16988146</v>
      </c>
      <c r="DB103" s="115">
        <f t="shared" si="62"/>
        <v>9.4303491968176778E-2</v>
      </c>
      <c r="DC103" s="42">
        <f t="shared" si="82"/>
        <v>30836124</v>
      </c>
      <c r="DD103" s="42">
        <f t="shared" si="83"/>
        <v>0</v>
      </c>
      <c r="DE103" s="42">
        <f t="shared" si="83"/>
        <v>3442782</v>
      </c>
      <c r="DF103" s="42"/>
      <c r="DG103" s="42">
        <f t="shared" si="92"/>
        <v>0</v>
      </c>
      <c r="DH103" s="42">
        <f t="shared" si="92"/>
        <v>0</v>
      </c>
      <c r="DI103" s="42">
        <f t="shared" si="92"/>
        <v>0</v>
      </c>
      <c r="DJ103" s="42">
        <f t="shared" si="92"/>
        <v>0</v>
      </c>
      <c r="DK103" s="42">
        <f t="shared" si="92"/>
        <v>0</v>
      </c>
      <c r="DL103" s="42">
        <f t="shared" si="92"/>
        <v>0</v>
      </c>
      <c r="DM103" s="42">
        <f t="shared" si="92"/>
        <v>0</v>
      </c>
      <c r="DN103" s="42">
        <f t="shared" si="92"/>
        <v>0</v>
      </c>
      <c r="DO103" s="42">
        <f t="shared" si="92"/>
        <v>0</v>
      </c>
      <c r="DP103" s="42">
        <f t="shared" si="92"/>
        <v>0</v>
      </c>
      <c r="DQ103" s="42">
        <f t="shared" si="92"/>
        <v>0</v>
      </c>
      <c r="DR103" s="42">
        <f t="shared" si="92"/>
        <v>0</v>
      </c>
      <c r="DS103" s="42">
        <f t="shared" si="92"/>
        <v>0</v>
      </c>
      <c r="DT103" s="42">
        <f t="shared" si="92"/>
        <v>0</v>
      </c>
      <c r="DU103" s="42">
        <f t="shared" si="92"/>
        <v>3337</v>
      </c>
      <c r="DV103" s="42">
        <f t="shared" si="90"/>
        <v>27390005</v>
      </c>
      <c r="DW103" s="42">
        <f t="shared" si="85"/>
        <v>0</v>
      </c>
      <c r="DX103" s="42">
        <f t="shared" si="85"/>
        <v>0</v>
      </c>
      <c r="DY103" s="42"/>
      <c r="DZ103" s="42">
        <f t="shared" si="86"/>
        <v>0</v>
      </c>
      <c r="EB103" s="47">
        <f t="shared" si="63"/>
        <v>326988146</v>
      </c>
      <c r="EC103" s="47">
        <f t="shared" si="64"/>
        <v>326988146</v>
      </c>
      <c r="ED103" s="47">
        <f t="shared" si="65"/>
        <v>326988146</v>
      </c>
      <c r="EE103" s="63"/>
      <c r="EI103" s="74">
        <f t="shared" si="87"/>
        <v>326988146</v>
      </c>
      <c r="EJ103" s="74">
        <f t="shared" si="55"/>
        <v>296152022</v>
      </c>
      <c r="EK103" s="241"/>
    </row>
    <row r="104" spans="1:141" ht="34.200000000000003" hidden="1" customHeight="1" x14ac:dyDescent="0.3">
      <c r="A104" s="100"/>
      <c r="B104" s="97"/>
      <c r="C104" s="55" t="s">
        <v>294</v>
      </c>
      <c r="D104" s="39" t="s">
        <v>295</v>
      </c>
      <c r="E104" s="40">
        <v>520</v>
      </c>
      <c r="F104" s="41" t="s">
        <v>296</v>
      </c>
      <c r="G104" s="42">
        <f t="shared" si="73"/>
        <v>96500718</v>
      </c>
      <c r="H104" s="58"/>
      <c r="I104" s="42"/>
      <c r="J104" s="77"/>
      <c r="K104" s="77"/>
      <c r="L104" s="111"/>
      <c r="M104" s="77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77"/>
      <c r="Y104" s="42"/>
      <c r="Z104" s="42"/>
      <c r="AA104" s="42"/>
      <c r="AB104" s="42"/>
      <c r="AC104" s="42"/>
      <c r="AD104" s="42">
        <f>54811394+5000000+30000000+6689324</f>
        <v>96500718</v>
      </c>
      <c r="AE104" s="43">
        <f t="shared" si="88"/>
        <v>0.94818691400824606</v>
      </c>
      <c r="AF104" s="42">
        <f t="shared" si="74"/>
        <v>91500718</v>
      </c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>
        <f>+'[3]NOVIEMBRE 2019'!$AG$5925</f>
        <v>91500718</v>
      </c>
      <c r="BD104" s="43">
        <f t="shared" si="60"/>
        <v>5.1813085991753938E-2</v>
      </c>
      <c r="BE104" s="42">
        <f t="shared" si="75"/>
        <v>5000000</v>
      </c>
      <c r="BF104" s="42">
        <f t="shared" si="93"/>
        <v>0</v>
      </c>
      <c r="BG104" s="42">
        <f t="shared" si="93"/>
        <v>0</v>
      </c>
      <c r="BH104" s="42">
        <f t="shared" si="93"/>
        <v>0</v>
      </c>
      <c r="BI104" s="42">
        <f t="shared" si="77"/>
        <v>0</v>
      </c>
      <c r="BJ104" s="42">
        <f t="shared" si="94"/>
        <v>0</v>
      </c>
      <c r="BK104" s="42">
        <f t="shared" si="94"/>
        <v>0</v>
      </c>
      <c r="BL104" s="42">
        <f t="shared" si="94"/>
        <v>0</v>
      </c>
      <c r="BM104" s="42">
        <f t="shared" si="94"/>
        <v>0</v>
      </c>
      <c r="BN104" s="42">
        <f t="shared" si="94"/>
        <v>0</v>
      </c>
      <c r="BO104" s="42">
        <f t="shared" si="94"/>
        <v>0</v>
      </c>
      <c r="BP104" s="42">
        <f t="shared" si="94"/>
        <v>0</v>
      </c>
      <c r="BQ104" s="42">
        <f t="shared" si="94"/>
        <v>0</v>
      </c>
      <c r="BR104" s="42">
        <f t="shared" si="94"/>
        <v>0</v>
      </c>
      <c r="BS104" s="42">
        <f t="shared" si="94"/>
        <v>0</v>
      </c>
      <c r="BT104" s="42">
        <f t="shared" si="94"/>
        <v>0</v>
      </c>
      <c r="BU104" s="42">
        <f t="shared" si="94"/>
        <v>0</v>
      </c>
      <c r="BV104" s="42">
        <f>X104-AW104</f>
        <v>0</v>
      </c>
      <c r="BW104" s="42">
        <f t="shared" si="95"/>
        <v>0</v>
      </c>
      <c r="BX104" s="42">
        <f t="shared" si="95"/>
        <v>0</v>
      </c>
      <c r="BY104" s="42">
        <f t="shared" si="95"/>
        <v>0</v>
      </c>
      <c r="BZ104" s="42">
        <f t="shared" si="95"/>
        <v>0</v>
      </c>
      <c r="CA104" s="42"/>
      <c r="CB104" s="42">
        <f>AD104-BC104</f>
        <v>5000000</v>
      </c>
      <c r="CC104" s="43">
        <f t="shared" si="61"/>
        <v>0.78792052096441401</v>
      </c>
      <c r="CD104" s="42">
        <f t="shared" si="81"/>
        <v>76034896</v>
      </c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>
        <f>+'[3]NOVIEMBRE 2019'!$H$5923</f>
        <v>76034896</v>
      </c>
      <c r="DB104" s="115">
        <f t="shared" si="62"/>
        <v>0.21207947903558599</v>
      </c>
      <c r="DC104" s="42">
        <f t="shared" si="82"/>
        <v>20465822</v>
      </c>
      <c r="DD104" s="42">
        <f t="shared" si="83"/>
        <v>0</v>
      </c>
      <c r="DE104" s="42">
        <f t="shared" si="83"/>
        <v>0</v>
      </c>
      <c r="DF104" s="42"/>
      <c r="DG104" s="42">
        <f t="shared" si="92"/>
        <v>0</v>
      </c>
      <c r="DH104" s="42">
        <f t="shared" si="92"/>
        <v>0</v>
      </c>
      <c r="DI104" s="42">
        <f t="shared" si="92"/>
        <v>0</v>
      </c>
      <c r="DJ104" s="42">
        <f t="shared" si="92"/>
        <v>0</v>
      </c>
      <c r="DK104" s="42">
        <f t="shared" si="92"/>
        <v>0</v>
      </c>
      <c r="DL104" s="42">
        <f t="shared" si="92"/>
        <v>0</v>
      </c>
      <c r="DM104" s="42">
        <f t="shared" si="92"/>
        <v>0</v>
      </c>
      <c r="DN104" s="42">
        <f t="shared" si="92"/>
        <v>0</v>
      </c>
      <c r="DO104" s="42">
        <f t="shared" si="92"/>
        <v>0</v>
      </c>
      <c r="DP104" s="42">
        <f t="shared" si="92"/>
        <v>0</v>
      </c>
      <c r="DQ104" s="42">
        <f t="shared" si="92"/>
        <v>0</v>
      </c>
      <c r="DR104" s="42">
        <f t="shared" si="92"/>
        <v>0</v>
      </c>
      <c r="DS104" s="42">
        <f t="shared" si="92"/>
        <v>0</v>
      </c>
      <c r="DT104" s="42">
        <f t="shared" si="92"/>
        <v>0</v>
      </c>
      <c r="DU104" s="42">
        <f t="shared" si="92"/>
        <v>0</v>
      </c>
      <c r="DV104" s="42">
        <f t="shared" si="90"/>
        <v>0</v>
      </c>
      <c r="DW104" s="42">
        <f t="shared" si="85"/>
        <v>0</v>
      </c>
      <c r="DX104" s="42">
        <f t="shared" si="85"/>
        <v>0</v>
      </c>
      <c r="DY104" s="42"/>
      <c r="DZ104" s="42">
        <f t="shared" si="86"/>
        <v>20465822</v>
      </c>
      <c r="EB104" s="47">
        <f t="shared" si="63"/>
        <v>96500718</v>
      </c>
      <c r="EC104" s="47">
        <f t="shared" si="64"/>
        <v>96500718</v>
      </c>
      <c r="ED104" s="47">
        <f t="shared" si="65"/>
        <v>96500718</v>
      </c>
      <c r="EI104" s="74">
        <f t="shared" si="87"/>
        <v>96500718</v>
      </c>
      <c r="EJ104" s="74">
        <f t="shared" si="55"/>
        <v>76034896</v>
      </c>
      <c r="EK104" s="241"/>
    </row>
    <row r="105" spans="1:141" s="73" customFormat="1" ht="20.25" customHeight="1" thickTop="1" thickBot="1" x14ac:dyDescent="0.35">
      <c r="A105" s="119"/>
      <c r="B105" s="230" t="s">
        <v>297</v>
      </c>
      <c r="C105" s="231"/>
      <c r="D105" s="231"/>
      <c r="E105" s="232"/>
      <c r="F105" s="233"/>
      <c r="G105" s="92">
        <f t="shared" ref="G105:AD105" si="96">SUM(G82:G104)</f>
        <v>4542835904</v>
      </c>
      <c r="H105" s="92">
        <f t="shared" si="96"/>
        <v>0</v>
      </c>
      <c r="I105" s="92">
        <f t="shared" si="96"/>
        <v>835000000</v>
      </c>
      <c r="J105" s="92">
        <f t="shared" si="96"/>
        <v>0</v>
      </c>
      <c r="K105" s="92">
        <f t="shared" si="96"/>
        <v>114000000</v>
      </c>
      <c r="L105" s="92">
        <f t="shared" si="96"/>
        <v>0</v>
      </c>
      <c r="M105" s="92">
        <f t="shared" si="96"/>
        <v>0</v>
      </c>
      <c r="N105" s="92">
        <f t="shared" si="96"/>
        <v>0</v>
      </c>
      <c r="O105" s="92">
        <f t="shared" si="96"/>
        <v>0</v>
      </c>
      <c r="P105" s="92">
        <f t="shared" si="96"/>
        <v>0</v>
      </c>
      <c r="Q105" s="92">
        <f t="shared" si="96"/>
        <v>0</v>
      </c>
      <c r="R105" s="92">
        <f t="shared" si="96"/>
        <v>0</v>
      </c>
      <c r="S105" s="92">
        <f t="shared" si="96"/>
        <v>0</v>
      </c>
      <c r="T105" s="92">
        <f t="shared" si="96"/>
        <v>0</v>
      </c>
      <c r="U105" s="92">
        <f t="shared" si="96"/>
        <v>0</v>
      </c>
      <c r="V105" s="92">
        <f t="shared" si="96"/>
        <v>0</v>
      </c>
      <c r="W105" s="92">
        <f t="shared" si="96"/>
        <v>2115618253</v>
      </c>
      <c r="X105" s="92">
        <f t="shared" si="96"/>
        <v>312000000</v>
      </c>
      <c r="Y105" s="92">
        <f t="shared" si="96"/>
        <v>132565530</v>
      </c>
      <c r="Z105" s="92">
        <f t="shared" si="96"/>
        <v>210000000</v>
      </c>
      <c r="AA105" s="92">
        <f t="shared" si="96"/>
        <v>0</v>
      </c>
      <c r="AB105" s="92">
        <f t="shared" si="96"/>
        <v>0</v>
      </c>
      <c r="AC105" s="92">
        <f t="shared" si="96"/>
        <v>0</v>
      </c>
      <c r="AD105" s="92">
        <f t="shared" si="96"/>
        <v>823652121</v>
      </c>
      <c r="AE105" s="71">
        <f t="shared" si="88"/>
        <v>0.75760070663560553</v>
      </c>
      <c r="AF105" s="92">
        <f>SUM(AF82:AF104)</f>
        <v>3441655691</v>
      </c>
      <c r="AG105" s="92">
        <f>SUM(AG82:AG104)</f>
        <v>0</v>
      </c>
      <c r="AH105" s="92">
        <f>SUM(AH82:AH104)</f>
        <v>778803326</v>
      </c>
      <c r="AI105" s="92">
        <f>SUM(AI82:AI104)</f>
        <v>0</v>
      </c>
      <c r="AJ105" s="92"/>
      <c r="AK105" s="92">
        <f t="shared" ref="AK105:BC105" si="97">SUM(AK82:AK104)</f>
        <v>0</v>
      </c>
      <c r="AL105" s="92">
        <f t="shared" si="97"/>
        <v>0</v>
      </c>
      <c r="AM105" s="92">
        <f t="shared" si="97"/>
        <v>0</v>
      </c>
      <c r="AN105" s="92">
        <f t="shared" si="97"/>
        <v>0</v>
      </c>
      <c r="AO105" s="92">
        <f t="shared" si="97"/>
        <v>0</v>
      </c>
      <c r="AP105" s="92">
        <f t="shared" si="97"/>
        <v>0</v>
      </c>
      <c r="AQ105" s="92">
        <f t="shared" si="97"/>
        <v>0</v>
      </c>
      <c r="AR105" s="92">
        <f t="shared" si="97"/>
        <v>0</v>
      </c>
      <c r="AS105" s="92">
        <f t="shared" si="97"/>
        <v>0</v>
      </c>
      <c r="AT105" s="92">
        <f t="shared" si="97"/>
        <v>0</v>
      </c>
      <c r="AU105" s="92">
        <f t="shared" si="97"/>
        <v>0</v>
      </c>
      <c r="AV105" s="92">
        <f t="shared" si="97"/>
        <v>1157547927</v>
      </c>
      <c r="AW105" s="92">
        <f t="shared" si="97"/>
        <v>289370571</v>
      </c>
      <c r="AX105" s="92">
        <f t="shared" si="97"/>
        <v>132163690</v>
      </c>
      <c r="AY105" s="92">
        <f t="shared" si="97"/>
        <v>208647007</v>
      </c>
      <c r="AZ105" s="92">
        <f t="shared" si="97"/>
        <v>0</v>
      </c>
      <c r="BA105" s="92">
        <f t="shared" si="97"/>
        <v>0</v>
      </c>
      <c r="BB105" s="92">
        <f t="shared" si="97"/>
        <v>0</v>
      </c>
      <c r="BC105" s="92">
        <f t="shared" si="97"/>
        <v>761123170</v>
      </c>
      <c r="BD105" s="71">
        <f t="shared" si="60"/>
        <v>0.24239929336439447</v>
      </c>
      <c r="BE105" s="92">
        <f t="shared" ref="BE105:CB105" si="98">SUM(BE82:BE104)</f>
        <v>1101180213</v>
      </c>
      <c r="BF105" s="92">
        <f t="shared" si="98"/>
        <v>0</v>
      </c>
      <c r="BG105" s="92">
        <f t="shared" si="98"/>
        <v>56196674</v>
      </c>
      <c r="BH105" s="92">
        <f t="shared" si="98"/>
        <v>0</v>
      </c>
      <c r="BI105" s="92">
        <f t="shared" si="98"/>
        <v>0</v>
      </c>
      <c r="BJ105" s="92">
        <f t="shared" si="98"/>
        <v>0</v>
      </c>
      <c r="BK105" s="92">
        <f t="shared" si="98"/>
        <v>0</v>
      </c>
      <c r="BL105" s="92">
        <f t="shared" si="98"/>
        <v>0</v>
      </c>
      <c r="BM105" s="92">
        <f t="shared" si="98"/>
        <v>0</v>
      </c>
      <c r="BN105" s="92">
        <f t="shared" si="98"/>
        <v>0</v>
      </c>
      <c r="BO105" s="92">
        <f t="shared" si="98"/>
        <v>0</v>
      </c>
      <c r="BP105" s="92">
        <f t="shared" si="98"/>
        <v>0</v>
      </c>
      <c r="BQ105" s="92">
        <f t="shared" si="98"/>
        <v>0</v>
      </c>
      <c r="BR105" s="92">
        <f t="shared" si="98"/>
        <v>0</v>
      </c>
      <c r="BS105" s="92">
        <f t="shared" si="98"/>
        <v>0</v>
      </c>
      <c r="BT105" s="92">
        <f t="shared" si="98"/>
        <v>0</v>
      </c>
      <c r="BU105" s="92">
        <f t="shared" si="98"/>
        <v>958070326</v>
      </c>
      <c r="BV105" s="92">
        <f t="shared" si="98"/>
        <v>22629429</v>
      </c>
      <c r="BW105" s="92">
        <f t="shared" si="98"/>
        <v>401840</v>
      </c>
      <c r="BX105" s="92">
        <f t="shared" si="98"/>
        <v>1352993</v>
      </c>
      <c r="BY105" s="92">
        <f t="shared" si="98"/>
        <v>0</v>
      </c>
      <c r="BZ105" s="92">
        <f t="shared" si="98"/>
        <v>0</v>
      </c>
      <c r="CA105" s="92">
        <f t="shared" si="98"/>
        <v>0</v>
      </c>
      <c r="CB105" s="92">
        <f t="shared" si="98"/>
        <v>62528951</v>
      </c>
      <c r="CC105" s="71">
        <f t="shared" si="61"/>
        <v>0.68240859597643966</v>
      </c>
      <c r="CD105" s="92">
        <f>SUM(CD82:CD104)</f>
        <v>3100070271</v>
      </c>
      <c r="CE105" s="92">
        <f>SUM(CE82:CE104)</f>
        <v>0</v>
      </c>
      <c r="CF105" s="92">
        <f>SUM(CF82:CF104)</f>
        <v>743657184</v>
      </c>
      <c r="CG105" s="92">
        <f>SUM(CG82:CG104)</f>
        <v>0</v>
      </c>
      <c r="CH105" s="92"/>
      <c r="CI105" s="92">
        <f t="shared" ref="CI105:DA105" si="99">SUM(CI82:CI104)</f>
        <v>0</v>
      </c>
      <c r="CJ105" s="92">
        <f t="shared" si="99"/>
        <v>0</v>
      </c>
      <c r="CK105" s="92">
        <f t="shared" si="99"/>
        <v>0</v>
      </c>
      <c r="CL105" s="92">
        <f t="shared" si="99"/>
        <v>0</v>
      </c>
      <c r="CM105" s="92">
        <f t="shared" si="99"/>
        <v>0</v>
      </c>
      <c r="CN105" s="92">
        <f t="shared" si="99"/>
        <v>0</v>
      </c>
      <c r="CO105" s="92">
        <f t="shared" si="99"/>
        <v>0</v>
      </c>
      <c r="CP105" s="92">
        <f t="shared" si="99"/>
        <v>0</v>
      </c>
      <c r="CQ105" s="92">
        <f t="shared" si="99"/>
        <v>0</v>
      </c>
      <c r="CR105" s="92">
        <f t="shared" si="99"/>
        <v>0</v>
      </c>
      <c r="CS105" s="92">
        <f t="shared" si="99"/>
        <v>0</v>
      </c>
      <c r="CT105" s="92">
        <f t="shared" si="99"/>
        <v>1084000006</v>
      </c>
      <c r="CU105" s="92">
        <f t="shared" si="99"/>
        <v>256741164</v>
      </c>
      <c r="CV105" s="92">
        <f t="shared" si="99"/>
        <v>131494823</v>
      </c>
      <c r="CW105" s="92">
        <f t="shared" si="99"/>
        <v>181257002</v>
      </c>
      <c r="CX105" s="92">
        <f t="shared" si="99"/>
        <v>0</v>
      </c>
      <c r="CY105" s="92">
        <f t="shared" si="99"/>
        <v>0</v>
      </c>
      <c r="CZ105" s="92">
        <f t="shared" si="99"/>
        <v>0</v>
      </c>
      <c r="DA105" s="92">
        <f t="shared" si="99"/>
        <v>702920092</v>
      </c>
      <c r="DB105" s="71">
        <f t="shared" si="62"/>
        <v>0.31759140402356034</v>
      </c>
      <c r="DC105" s="123">
        <f t="shared" si="82"/>
        <v>1442765633</v>
      </c>
      <c r="DD105" s="92">
        <f t="shared" ref="DD105:DZ105" si="100">SUM(DD82:DD104)</f>
        <v>0</v>
      </c>
      <c r="DE105" s="92">
        <f t="shared" si="100"/>
        <v>91342816</v>
      </c>
      <c r="DF105" s="92">
        <f t="shared" si="100"/>
        <v>0</v>
      </c>
      <c r="DG105" s="92">
        <f t="shared" si="100"/>
        <v>114000000</v>
      </c>
      <c r="DH105" s="92">
        <f t="shared" si="100"/>
        <v>0</v>
      </c>
      <c r="DI105" s="92">
        <f t="shared" si="100"/>
        <v>0</v>
      </c>
      <c r="DJ105" s="92">
        <f t="shared" si="100"/>
        <v>0</v>
      </c>
      <c r="DK105" s="92">
        <f t="shared" si="100"/>
        <v>0</v>
      </c>
      <c r="DL105" s="92">
        <f t="shared" si="100"/>
        <v>0</v>
      </c>
      <c r="DM105" s="92">
        <f t="shared" si="100"/>
        <v>0</v>
      </c>
      <c r="DN105" s="92">
        <f t="shared" si="100"/>
        <v>0</v>
      </c>
      <c r="DO105" s="92">
        <f t="shared" si="100"/>
        <v>0</v>
      </c>
      <c r="DP105" s="92">
        <f t="shared" si="100"/>
        <v>0</v>
      </c>
      <c r="DQ105" s="92">
        <f t="shared" si="100"/>
        <v>0</v>
      </c>
      <c r="DR105" s="92">
        <f t="shared" si="100"/>
        <v>0</v>
      </c>
      <c r="DS105" s="92">
        <f t="shared" si="100"/>
        <v>1031618247</v>
      </c>
      <c r="DT105" s="92">
        <f t="shared" si="100"/>
        <v>55258836</v>
      </c>
      <c r="DU105" s="92">
        <f t="shared" si="100"/>
        <v>1070707</v>
      </c>
      <c r="DV105" s="92">
        <f t="shared" si="100"/>
        <v>28742998</v>
      </c>
      <c r="DW105" s="92">
        <f t="shared" si="100"/>
        <v>0</v>
      </c>
      <c r="DX105" s="92">
        <f t="shared" si="100"/>
        <v>0</v>
      </c>
      <c r="DY105" s="92">
        <f t="shared" si="100"/>
        <v>0</v>
      </c>
      <c r="DZ105" s="92">
        <f t="shared" si="100"/>
        <v>120732029</v>
      </c>
      <c r="EB105" s="47">
        <f t="shared" si="63"/>
        <v>4542835904</v>
      </c>
      <c r="EC105" s="47">
        <f t="shared" si="64"/>
        <v>4542835904</v>
      </c>
      <c r="ED105" s="47">
        <f t="shared" si="65"/>
        <v>4542835904</v>
      </c>
      <c r="EH105" s="237" t="s">
        <v>416</v>
      </c>
      <c r="EI105" s="74">
        <f t="shared" si="87"/>
        <v>4542835904</v>
      </c>
      <c r="EJ105" s="74">
        <f t="shared" ref="EJ105:EJ143" si="101">+CD105</f>
        <v>3100070271</v>
      </c>
      <c r="EK105" s="241">
        <v>0.68240000000000001</v>
      </c>
    </row>
    <row r="106" spans="1:141" s="73" customFormat="1" ht="29.4" hidden="1" customHeight="1" thickTop="1" x14ac:dyDescent="0.3">
      <c r="A106" s="124" t="s">
        <v>298</v>
      </c>
      <c r="B106" s="125" t="s">
        <v>299</v>
      </c>
      <c r="C106" s="78" t="s">
        <v>300</v>
      </c>
      <c r="D106" s="50" t="s">
        <v>301</v>
      </c>
      <c r="E106" s="40">
        <v>301</v>
      </c>
      <c r="F106" s="41" t="s">
        <v>302</v>
      </c>
      <c r="G106" s="42">
        <f t="shared" ref="G106:G121" si="102">SUM(H106:AD106)</f>
        <v>16000000</v>
      </c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>
        <v>16000000</v>
      </c>
      <c r="AB106" s="42"/>
      <c r="AC106" s="42"/>
      <c r="AD106" s="42"/>
      <c r="AE106" s="43">
        <f t="shared" si="88"/>
        <v>1</v>
      </c>
      <c r="AF106" s="42">
        <f t="shared" ref="AF106:AF121" si="103">SUM(AG106:BC106)</f>
        <v>16000000</v>
      </c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>
        <f>+'[2]SEPTIEMBRE 2019'!$AC$976</f>
        <v>16000000</v>
      </c>
      <c r="BA106" s="42"/>
      <c r="BB106" s="42"/>
      <c r="BC106" s="42"/>
      <c r="BD106" s="43">
        <f t="shared" si="60"/>
        <v>0</v>
      </c>
      <c r="BE106" s="42">
        <f t="shared" ref="BE106:BE121" si="104">SUM(BF106:CB106)</f>
        <v>0</v>
      </c>
      <c r="BF106" s="42">
        <f t="shared" ref="BF106:BH108" si="105">H106-AG106</f>
        <v>0</v>
      </c>
      <c r="BG106" s="42">
        <f t="shared" si="105"/>
        <v>0</v>
      </c>
      <c r="BH106" s="42">
        <f t="shared" si="105"/>
        <v>0</v>
      </c>
      <c r="BI106" s="42">
        <f t="shared" ref="BI106:BI121" si="106">+K106-AJ106</f>
        <v>0</v>
      </c>
      <c r="BJ106" s="42">
        <f t="shared" ref="BJ106:BY108" si="107">L106-AK106</f>
        <v>0</v>
      </c>
      <c r="BK106" s="42">
        <f t="shared" si="107"/>
        <v>0</v>
      </c>
      <c r="BL106" s="42">
        <f t="shared" si="107"/>
        <v>0</v>
      </c>
      <c r="BM106" s="42">
        <f t="shared" si="107"/>
        <v>0</v>
      </c>
      <c r="BN106" s="42">
        <f t="shared" si="107"/>
        <v>0</v>
      </c>
      <c r="BO106" s="42">
        <f t="shared" si="107"/>
        <v>0</v>
      </c>
      <c r="BP106" s="42">
        <f t="shared" si="107"/>
        <v>0</v>
      </c>
      <c r="BQ106" s="42">
        <f t="shared" si="107"/>
        <v>0</v>
      </c>
      <c r="BR106" s="42">
        <f t="shared" si="107"/>
        <v>0</v>
      </c>
      <c r="BS106" s="42">
        <f t="shared" si="107"/>
        <v>0</v>
      </c>
      <c r="BT106" s="42">
        <f t="shared" si="107"/>
        <v>0</v>
      </c>
      <c r="BU106" s="42">
        <f t="shared" si="107"/>
        <v>0</v>
      </c>
      <c r="BV106" s="42">
        <f t="shared" si="107"/>
        <v>0</v>
      </c>
      <c r="BW106" s="42">
        <f t="shared" si="107"/>
        <v>0</v>
      </c>
      <c r="BX106" s="42">
        <f t="shared" si="107"/>
        <v>0</v>
      </c>
      <c r="BY106" s="42">
        <f t="shared" si="107"/>
        <v>0</v>
      </c>
      <c r="BZ106" s="42">
        <f t="shared" ref="BT106:BZ121" si="108">AB106-BA106</f>
        <v>0</v>
      </c>
      <c r="CA106" s="42"/>
      <c r="CB106" s="42">
        <f>AD106-BC106</f>
        <v>0</v>
      </c>
      <c r="CC106" s="43">
        <f t="shared" si="61"/>
        <v>1</v>
      </c>
      <c r="CD106" s="42">
        <f t="shared" ref="CD106:CD121" si="109">SUM(CE106:DA106)</f>
        <v>16000000</v>
      </c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>
        <f>+'[3]NOVIEMBRE 2019'!$H$1217</f>
        <v>16000000</v>
      </c>
      <c r="CY106" s="42"/>
      <c r="CZ106" s="42"/>
      <c r="DA106" s="42"/>
      <c r="DB106" s="43">
        <f t="shared" si="62"/>
        <v>0</v>
      </c>
      <c r="DC106" s="77">
        <f t="shared" si="82"/>
        <v>0</v>
      </c>
      <c r="DD106" s="42">
        <f t="shared" ref="DD106:DE117" si="110">H106-CE106</f>
        <v>0</v>
      </c>
      <c r="DE106" s="42">
        <f t="shared" si="110"/>
        <v>0</v>
      </c>
      <c r="DF106" s="42"/>
      <c r="DG106" s="42">
        <f t="shared" ref="DG106:DV117" si="111">K106-CH106</f>
        <v>0</v>
      </c>
      <c r="DH106" s="42">
        <f t="shared" si="111"/>
        <v>0</v>
      </c>
      <c r="DI106" s="42">
        <f t="shared" si="111"/>
        <v>0</v>
      </c>
      <c r="DJ106" s="42">
        <f t="shared" si="111"/>
        <v>0</v>
      </c>
      <c r="DK106" s="42">
        <f t="shared" si="111"/>
        <v>0</v>
      </c>
      <c r="DL106" s="42">
        <f t="shared" si="111"/>
        <v>0</v>
      </c>
      <c r="DM106" s="42">
        <f t="shared" si="111"/>
        <v>0</v>
      </c>
      <c r="DN106" s="42">
        <f t="shared" si="111"/>
        <v>0</v>
      </c>
      <c r="DO106" s="42">
        <f t="shared" si="111"/>
        <v>0</v>
      </c>
      <c r="DP106" s="42">
        <f t="shared" si="111"/>
        <v>0</v>
      </c>
      <c r="DQ106" s="42">
        <f t="shared" si="111"/>
        <v>0</v>
      </c>
      <c r="DR106" s="42">
        <f t="shared" si="111"/>
        <v>0</v>
      </c>
      <c r="DS106" s="42">
        <f t="shared" si="111"/>
        <v>0</v>
      </c>
      <c r="DT106" s="42">
        <f t="shared" si="111"/>
        <v>0</v>
      </c>
      <c r="DU106" s="42">
        <f t="shared" si="111"/>
        <v>0</v>
      </c>
      <c r="DV106" s="42">
        <f t="shared" si="111"/>
        <v>0</v>
      </c>
      <c r="DW106" s="42">
        <f t="shared" ref="DW106:DX117" si="112">AA106-CX106</f>
        <v>0</v>
      </c>
      <c r="DX106" s="42">
        <f t="shared" si="112"/>
        <v>0</v>
      </c>
      <c r="DY106" s="42"/>
      <c r="DZ106" s="42">
        <f t="shared" ref="DZ106:DZ117" si="113">AD106-DA106</f>
        <v>0</v>
      </c>
      <c r="EB106" s="47">
        <f t="shared" si="63"/>
        <v>16000000</v>
      </c>
      <c r="EC106" s="47">
        <f t="shared" si="64"/>
        <v>16000000</v>
      </c>
      <c r="ED106" s="47">
        <f t="shared" si="65"/>
        <v>16000000</v>
      </c>
      <c r="EI106" s="74">
        <f t="shared" si="87"/>
        <v>16000000</v>
      </c>
      <c r="EJ106" s="74">
        <f t="shared" si="101"/>
        <v>16000000</v>
      </c>
      <c r="EK106" s="241"/>
    </row>
    <row r="107" spans="1:141" s="73" customFormat="1" ht="16.2" hidden="1" customHeight="1" x14ac:dyDescent="0.3">
      <c r="A107" s="124"/>
      <c r="B107" s="95"/>
      <c r="C107" s="78" t="s">
        <v>303</v>
      </c>
      <c r="D107" s="50" t="s">
        <v>304</v>
      </c>
      <c r="E107" s="40">
        <v>301</v>
      </c>
      <c r="F107" s="41" t="s">
        <v>302</v>
      </c>
      <c r="G107" s="42">
        <f t="shared" si="102"/>
        <v>64000000</v>
      </c>
      <c r="H107" s="42">
        <v>14000000</v>
      </c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>
        <v>50000000</v>
      </c>
      <c r="AB107" s="42"/>
      <c r="AC107" s="42"/>
      <c r="AD107" s="42"/>
      <c r="AE107" s="43">
        <f t="shared" si="88"/>
        <v>1</v>
      </c>
      <c r="AF107" s="42">
        <f t="shared" si="103"/>
        <v>64000000</v>
      </c>
      <c r="AG107" s="42">
        <f>+'[12]JULIO 2019'!$J$717</f>
        <v>14000000</v>
      </c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>
        <f>+'[10]ENERO 2019'!$AB$198</f>
        <v>50000000</v>
      </c>
      <c r="BA107" s="42"/>
      <c r="BB107" s="42"/>
      <c r="BC107" s="42"/>
      <c r="BD107" s="43">
        <f t="shared" si="60"/>
        <v>0</v>
      </c>
      <c r="BE107" s="42">
        <f t="shared" si="104"/>
        <v>0</v>
      </c>
      <c r="BF107" s="42">
        <f t="shared" si="105"/>
        <v>0</v>
      </c>
      <c r="BG107" s="42">
        <f t="shared" si="105"/>
        <v>0</v>
      </c>
      <c r="BH107" s="42">
        <f t="shared" si="105"/>
        <v>0</v>
      </c>
      <c r="BI107" s="42">
        <f t="shared" si="106"/>
        <v>0</v>
      </c>
      <c r="BJ107" s="42">
        <f t="shared" si="107"/>
        <v>0</v>
      </c>
      <c r="BK107" s="42">
        <f t="shared" si="107"/>
        <v>0</v>
      </c>
      <c r="BL107" s="42">
        <f t="shared" si="107"/>
        <v>0</v>
      </c>
      <c r="BM107" s="42">
        <f t="shared" si="107"/>
        <v>0</v>
      </c>
      <c r="BN107" s="42">
        <f t="shared" si="107"/>
        <v>0</v>
      </c>
      <c r="BO107" s="42">
        <f t="shared" si="107"/>
        <v>0</v>
      </c>
      <c r="BP107" s="42">
        <f t="shared" si="107"/>
        <v>0</v>
      </c>
      <c r="BQ107" s="42">
        <f t="shared" si="107"/>
        <v>0</v>
      </c>
      <c r="BR107" s="42">
        <f t="shared" si="107"/>
        <v>0</v>
      </c>
      <c r="BS107" s="42">
        <f t="shared" si="107"/>
        <v>0</v>
      </c>
      <c r="BT107" s="42">
        <f t="shared" si="108"/>
        <v>0</v>
      </c>
      <c r="BU107" s="42">
        <f t="shared" si="108"/>
        <v>0</v>
      </c>
      <c r="BV107" s="42">
        <f t="shared" si="108"/>
        <v>0</v>
      </c>
      <c r="BW107" s="42">
        <f t="shared" si="108"/>
        <v>0</v>
      </c>
      <c r="BX107" s="42">
        <f t="shared" si="108"/>
        <v>0</v>
      </c>
      <c r="BY107" s="42">
        <f t="shared" si="108"/>
        <v>0</v>
      </c>
      <c r="BZ107" s="42">
        <f t="shared" si="108"/>
        <v>0</v>
      </c>
      <c r="CA107" s="42"/>
      <c r="CB107" s="42">
        <f>AD107-BC107</f>
        <v>0</v>
      </c>
      <c r="CC107" s="43">
        <f t="shared" si="61"/>
        <v>1</v>
      </c>
      <c r="CD107" s="42">
        <f t="shared" si="109"/>
        <v>64000000</v>
      </c>
      <c r="CE107" s="42">
        <f>+'[3]NOVIEMBRE 2019'!$J$1239</f>
        <v>14000000</v>
      </c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>
        <f>+'[3]NOVIEMBRE 2019'!$AC$1239</f>
        <v>50000000</v>
      </c>
      <c r="CY107" s="42"/>
      <c r="CZ107" s="42"/>
      <c r="DA107" s="42"/>
      <c r="DB107" s="43">
        <f t="shared" si="62"/>
        <v>0</v>
      </c>
      <c r="DC107" s="42">
        <f t="shared" si="82"/>
        <v>0</v>
      </c>
      <c r="DD107" s="42">
        <f t="shared" si="110"/>
        <v>0</v>
      </c>
      <c r="DE107" s="42">
        <f t="shared" si="110"/>
        <v>0</v>
      </c>
      <c r="DF107" s="42"/>
      <c r="DG107" s="42">
        <f t="shared" si="111"/>
        <v>0</v>
      </c>
      <c r="DH107" s="42">
        <f t="shared" si="111"/>
        <v>0</v>
      </c>
      <c r="DI107" s="42">
        <f t="shared" si="111"/>
        <v>0</v>
      </c>
      <c r="DJ107" s="42">
        <f t="shared" si="111"/>
        <v>0</v>
      </c>
      <c r="DK107" s="42">
        <f t="shared" si="111"/>
        <v>0</v>
      </c>
      <c r="DL107" s="42">
        <f t="shared" si="111"/>
        <v>0</v>
      </c>
      <c r="DM107" s="42">
        <f t="shared" si="111"/>
        <v>0</v>
      </c>
      <c r="DN107" s="42">
        <f t="shared" si="111"/>
        <v>0</v>
      </c>
      <c r="DO107" s="42">
        <f t="shared" si="111"/>
        <v>0</v>
      </c>
      <c r="DP107" s="42">
        <f t="shared" si="111"/>
        <v>0</v>
      </c>
      <c r="DQ107" s="42">
        <f t="shared" si="111"/>
        <v>0</v>
      </c>
      <c r="DR107" s="42">
        <f t="shared" si="111"/>
        <v>0</v>
      </c>
      <c r="DS107" s="42">
        <f t="shared" si="111"/>
        <v>0</v>
      </c>
      <c r="DT107" s="42">
        <f t="shared" si="111"/>
        <v>0</v>
      </c>
      <c r="DU107" s="42">
        <f t="shared" si="111"/>
        <v>0</v>
      </c>
      <c r="DV107" s="42">
        <f t="shared" si="111"/>
        <v>0</v>
      </c>
      <c r="DW107" s="42">
        <f t="shared" si="112"/>
        <v>0</v>
      </c>
      <c r="DX107" s="42">
        <f t="shared" si="112"/>
        <v>0</v>
      </c>
      <c r="DY107" s="42"/>
      <c r="DZ107" s="42">
        <f t="shared" si="113"/>
        <v>0</v>
      </c>
      <c r="EB107" s="47">
        <f t="shared" si="63"/>
        <v>64000000</v>
      </c>
      <c r="EC107" s="47">
        <f t="shared" si="64"/>
        <v>64000000</v>
      </c>
      <c r="ED107" s="47">
        <f t="shared" si="65"/>
        <v>64000000</v>
      </c>
      <c r="EI107" s="74">
        <f t="shared" si="87"/>
        <v>64000000</v>
      </c>
      <c r="EJ107" s="74">
        <f t="shared" si="101"/>
        <v>64000000</v>
      </c>
      <c r="EK107" s="241"/>
    </row>
    <row r="108" spans="1:141" s="73" customFormat="1" ht="33" hidden="1" customHeight="1" x14ac:dyDescent="0.3">
      <c r="A108" s="124"/>
      <c r="B108" s="95"/>
      <c r="C108" s="78" t="s">
        <v>305</v>
      </c>
      <c r="D108" s="50" t="s">
        <v>306</v>
      </c>
      <c r="E108" s="40">
        <v>301</v>
      </c>
      <c r="F108" s="41" t="s">
        <v>302</v>
      </c>
      <c r="G108" s="42">
        <f t="shared" si="102"/>
        <v>60000000</v>
      </c>
      <c r="H108" s="42">
        <v>15000000</v>
      </c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>
        <f>30000000+15000000</f>
        <v>45000000</v>
      </c>
      <c r="AB108" s="42"/>
      <c r="AC108" s="42"/>
      <c r="AD108" s="42"/>
      <c r="AE108" s="43">
        <f t="shared" si="88"/>
        <v>1</v>
      </c>
      <c r="AF108" s="42">
        <f t="shared" si="103"/>
        <v>60000000</v>
      </c>
      <c r="AG108" s="42">
        <f>+'[12]JULIO 2019'!$J$746</f>
        <v>15000000</v>
      </c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>
        <f>+'[7]MAYO 2019'!$AB$487</f>
        <v>45000000</v>
      </c>
      <c r="BA108" s="42"/>
      <c r="BB108" s="42"/>
      <c r="BC108" s="42"/>
      <c r="BD108" s="43">
        <f t="shared" si="60"/>
        <v>0</v>
      </c>
      <c r="BE108" s="42">
        <f t="shared" si="104"/>
        <v>0</v>
      </c>
      <c r="BF108" s="42">
        <f t="shared" si="105"/>
        <v>0</v>
      </c>
      <c r="BG108" s="42">
        <f t="shared" si="105"/>
        <v>0</v>
      </c>
      <c r="BH108" s="42">
        <f t="shared" si="105"/>
        <v>0</v>
      </c>
      <c r="BI108" s="42">
        <f t="shared" si="106"/>
        <v>0</v>
      </c>
      <c r="BJ108" s="42">
        <f t="shared" si="107"/>
        <v>0</v>
      </c>
      <c r="BK108" s="42">
        <f t="shared" si="107"/>
        <v>0</v>
      </c>
      <c r="BL108" s="42">
        <f t="shared" si="107"/>
        <v>0</v>
      </c>
      <c r="BM108" s="42">
        <f t="shared" si="107"/>
        <v>0</v>
      </c>
      <c r="BN108" s="42">
        <f t="shared" si="107"/>
        <v>0</v>
      </c>
      <c r="BO108" s="42">
        <f t="shared" si="107"/>
        <v>0</v>
      </c>
      <c r="BP108" s="42">
        <f t="shared" si="107"/>
        <v>0</v>
      </c>
      <c r="BQ108" s="42">
        <f t="shared" si="107"/>
        <v>0</v>
      </c>
      <c r="BR108" s="42">
        <f t="shared" si="107"/>
        <v>0</v>
      </c>
      <c r="BS108" s="42">
        <f t="shared" si="107"/>
        <v>0</v>
      </c>
      <c r="BT108" s="42">
        <f t="shared" si="108"/>
        <v>0</v>
      </c>
      <c r="BU108" s="42">
        <f t="shared" si="108"/>
        <v>0</v>
      </c>
      <c r="BV108" s="42">
        <f t="shared" si="108"/>
        <v>0</v>
      </c>
      <c r="BW108" s="42">
        <f t="shared" si="108"/>
        <v>0</v>
      </c>
      <c r="BX108" s="42">
        <f t="shared" si="108"/>
        <v>0</v>
      </c>
      <c r="BY108" s="42">
        <f t="shared" si="108"/>
        <v>0</v>
      </c>
      <c r="BZ108" s="42">
        <f t="shared" si="108"/>
        <v>0</v>
      </c>
      <c r="CA108" s="42"/>
      <c r="CB108" s="42">
        <f>AD108-BC108</f>
        <v>0</v>
      </c>
      <c r="CC108" s="43">
        <f t="shared" si="61"/>
        <v>1</v>
      </c>
      <c r="CD108" s="42">
        <f t="shared" si="109"/>
        <v>60000000</v>
      </c>
      <c r="CE108" s="42">
        <f>+'[1]OCTUBRE 2019'!$H$1170</f>
        <v>15000000</v>
      </c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>
        <f>+'[2]SEPTIEMBRE 2019'!$H$1022-'[2]SEPTIEMBRE 2019'!$H$1047</f>
        <v>45000000</v>
      </c>
      <c r="CY108" s="42"/>
      <c r="CZ108" s="42"/>
      <c r="DA108" s="42"/>
      <c r="DB108" s="43">
        <f t="shared" si="62"/>
        <v>0</v>
      </c>
      <c r="DC108" s="42">
        <f t="shared" si="82"/>
        <v>0</v>
      </c>
      <c r="DD108" s="42">
        <f t="shared" si="110"/>
        <v>0</v>
      </c>
      <c r="DE108" s="42">
        <f t="shared" si="110"/>
        <v>0</v>
      </c>
      <c r="DF108" s="42"/>
      <c r="DG108" s="42">
        <f t="shared" si="111"/>
        <v>0</v>
      </c>
      <c r="DH108" s="42">
        <f t="shared" si="111"/>
        <v>0</v>
      </c>
      <c r="DI108" s="42">
        <f t="shared" si="111"/>
        <v>0</v>
      </c>
      <c r="DJ108" s="42">
        <f t="shared" si="111"/>
        <v>0</v>
      </c>
      <c r="DK108" s="42">
        <f t="shared" si="111"/>
        <v>0</v>
      </c>
      <c r="DL108" s="42">
        <f t="shared" si="111"/>
        <v>0</v>
      </c>
      <c r="DM108" s="42">
        <f t="shared" si="111"/>
        <v>0</v>
      </c>
      <c r="DN108" s="42">
        <f t="shared" si="111"/>
        <v>0</v>
      </c>
      <c r="DO108" s="42">
        <f t="shared" si="111"/>
        <v>0</v>
      </c>
      <c r="DP108" s="42">
        <f t="shared" si="111"/>
        <v>0</v>
      </c>
      <c r="DQ108" s="42">
        <f t="shared" si="111"/>
        <v>0</v>
      </c>
      <c r="DR108" s="42">
        <f t="shared" si="111"/>
        <v>0</v>
      </c>
      <c r="DS108" s="42">
        <f t="shared" si="111"/>
        <v>0</v>
      </c>
      <c r="DT108" s="42">
        <f t="shared" si="111"/>
        <v>0</v>
      </c>
      <c r="DU108" s="42">
        <f t="shared" si="111"/>
        <v>0</v>
      </c>
      <c r="DV108" s="42">
        <f t="shared" si="111"/>
        <v>0</v>
      </c>
      <c r="DW108" s="42">
        <f t="shared" si="112"/>
        <v>0</v>
      </c>
      <c r="DX108" s="42">
        <f t="shared" si="112"/>
        <v>0</v>
      </c>
      <c r="DY108" s="42"/>
      <c r="DZ108" s="42">
        <f t="shared" si="113"/>
        <v>0</v>
      </c>
      <c r="EB108" s="47">
        <f t="shared" si="63"/>
        <v>60000000</v>
      </c>
      <c r="EC108" s="47">
        <f t="shared" si="64"/>
        <v>60000000</v>
      </c>
      <c r="ED108" s="47">
        <f t="shared" si="65"/>
        <v>60000000</v>
      </c>
      <c r="EI108" s="74">
        <f t="shared" si="87"/>
        <v>60000000</v>
      </c>
      <c r="EJ108" s="74">
        <f t="shared" si="101"/>
        <v>60000000</v>
      </c>
      <c r="EK108" s="241"/>
    </row>
    <row r="109" spans="1:141" s="73" customFormat="1" ht="16.2" hidden="1" customHeight="1" x14ac:dyDescent="0.3">
      <c r="A109" s="124"/>
      <c r="B109" s="126"/>
      <c r="C109" s="78" t="s">
        <v>307</v>
      </c>
      <c r="D109" s="50" t="s">
        <v>308</v>
      </c>
      <c r="E109" s="40">
        <v>301</v>
      </c>
      <c r="F109" s="41" t="s">
        <v>302</v>
      </c>
      <c r="G109" s="42">
        <f t="shared" si="102"/>
        <v>0</v>
      </c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>
        <f>15000000-15000000</f>
        <v>0</v>
      </c>
      <c r="AB109" s="42"/>
      <c r="AC109" s="42"/>
      <c r="AD109" s="42"/>
      <c r="AE109" s="43" t="e">
        <f t="shared" si="88"/>
        <v>#DIV/0!</v>
      </c>
      <c r="AF109" s="42">
        <f t="shared" si="103"/>
        <v>0</v>
      </c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3" t="e">
        <f t="shared" si="60"/>
        <v>#DIV/0!</v>
      </c>
      <c r="BE109" s="42">
        <f t="shared" si="104"/>
        <v>0</v>
      </c>
      <c r="BF109" s="42"/>
      <c r="BG109" s="42"/>
      <c r="BH109" s="42"/>
      <c r="BI109" s="42">
        <f t="shared" si="106"/>
        <v>0</v>
      </c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>
        <f t="shared" si="108"/>
        <v>0</v>
      </c>
      <c r="BZ109" s="42"/>
      <c r="CA109" s="42"/>
      <c r="CB109" s="42"/>
      <c r="CC109" s="43"/>
      <c r="CD109" s="42">
        <f t="shared" si="109"/>
        <v>0</v>
      </c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3">
        <f t="shared" si="62"/>
        <v>1</v>
      </c>
      <c r="DC109" s="42">
        <f t="shared" si="82"/>
        <v>0</v>
      </c>
      <c r="DD109" s="42">
        <f t="shared" si="110"/>
        <v>0</v>
      </c>
      <c r="DE109" s="42">
        <f t="shared" si="110"/>
        <v>0</v>
      </c>
      <c r="DF109" s="42"/>
      <c r="DG109" s="42">
        <f t="shared" si="111"/>
        <v>0</v>
      </c>
      <c r="DH109" s="42">
        <f t="shared" si="111"/>
        <v>0</v>
      </c>
      <c r="DI109" s="42">
        <f t="shared" si="111"/>
        <v>0</v>
      </c>
      <c r="DJ109" s="42">
        <f t="shared" si="111"/>
        <v>0</v>
      </c>
      <c r="DK109" s="42">
        <f t="shared" si="111"/>
        <v>0</v>
      </c>
      <c r="DL109" s="42">
        <f t="shared" si="111"/>
        <v>0</v>
      </c>
      <c r="DM109" s="42">
        <f t="shared" si="111"/>
        <v>0</v>
      </c>
      <c r="DN109" s="42">
        <f t="shared" si="111"/>
        <v>0</v>
      </c>
      <c r="DO109" s="42">
        <f t="shared" si="111"/>
        <v>0</v>
      </c>
      <c r="DP109" s="42">
        <f t="shared" si="111"/>
        <v>0</v>
      </c>
      <c r="DQ109" s="42">
        <f t="shared" si="111"/>
        <v>0</v>
      </c>
      <c r="DR109" s="42">
        <f t="shared" si="111"/>
        <v>0</v>
      </c>
      <c r="DS109" s="42">
        <f t="shared" si="111"/>
        <v>0</v>
      </c>
      <c r="DT109" s="42">
        <f t="shared" si="111"/>
        <v>0</v>
      </c>
      <c r="DU109" s="42">
        <f t="shared" si="111"/>
        <v>0</v>
      </c>
      <c r="DV109" s="42">
        <f t="shared" si="111"/>
        <v>0</v>
      </c>
      <c r="DW109" s="42">
        <f t="shared" si="112"/>
        <v>0</v>
      </c>
      <c r="DX109" s="42">
        <f t="shared" si="112"/>
        <v>0</v>
      </c>
      <c r="DY109" s="42"/>
      <c r="DZ109" s="42">
        <f t="shared" si="113"/>
        <v>0</v>
      </c>
      <c r="EB109" s="47">
        <f t="shared" si="63"/>
        <v>0</v>
      </c>
      <c r="EC109" s="47">
        <f t="shared" si="64"/>
        <v>0</v>
      </c>
      <c r="ED109" s="47">
        <f t="shared" si="65"/>
        <v>0</v>
      </c>
      <c r="EI109" s="74">
        <f t="shared" si="87"/>
        <v>0</v>
      </c>
      <c r="EJ109" s="74">
        <f t="shared" si="101"/>
        <v>0</v>
      </c>
      <c r="EK109" s="241"/>
    </row>
    <row r="110" spans="1:141" ht="16.2" hidden="1" customHeight="1" x14ac:dyDescent="0.3">
      <c r="A110" s="124"/>
      <c r="B110" s="109" t="s">
        <v>309</v>
      </c>
      <c r="C110" s="127" t="s">
        <v>310</v>
      </c>
      <c r="D110" s="50" t="s">
        <v>311</v>
      </c>
      <c r="E110" s="40">
        <v>301</v>
      </c>
      <c r="F110" s="41" t="s">
        <v>312</v>
      </c>
      <c r="G110" s="42">
        <f t="shared" si="102"/>
        <v>480654632</v>
      </c>
      <c r="H110" s="42">
        <f>15137846+35000000</f>
        <v>50137846</v>
      </c>
      <c r="I110" s="42">
        <f>180000000</f>
        <v>180000000</v>
      </c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>
        <f>14788955+60000000</f>
        <v>74788955</v>
      </c>
      <c r="AA110" s="42">
        <v>167968376</v>
      </c>
      <c r="AB110" s="42"/>
      <c r="AC110" s="42"/>
      <c r="AD110" s="42">
        <f>6759455+1000000</f>
        <v>7759455</v>
      </c>
      <c r="AE110" s="43">
        <f t="shared" si="88"/>
        <v>0.99029171948144257</v>
      </c>
      <c r="AF110" s="42">
        <f t="shared" si="103"/>
        <v>475988302</v>
      </c>
      <c r="AG110" s="42">
        <f>+'[3]NOVIEMBRE 2019'!$J$1322</f>
        <v>49805474</v>
      </c>
      <c r="AH110" s="42">
        <f>+'[3]NOVIEMBRE 2019'!$K$1322</f>
        <v>179513390</v>
      </c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>
        <f>+'[3]NOVIEMBRE 2019'!$AB$1322</f>
        <v>70941940</v>
      </c>
      <c r="AZ110" s="42">
        <f>+'[3]NOVIEMBRE 2019'!$AC$1322</f>
        <v>167968043</v>
      </c>
      <c r="BA110" s="42"/>
      <c r="BB110" s="42"/>
      <c r="BC110" s="42">
        <f>+'[1]OCTUBRE 2019'!$G$1210+'[1]OCTUBRE 2019'!$G$1263+'[1]OCTUBRE 2019'!$G$1272+'[1]OCTUBRE 2019'!$G$1273+'[1]OCTUBRE 2019'!$G$1296+'[1]OCTUBRE 2019'!$G$1297</f>
        <v>7759455</v>
      </c>
      <c r="BD110" s="43">
        <f t="shared" si="60"/>
        <v>9.7082805185574328E-3</v>
      </c>
      <c r="BE110" s="42">
        <f t="shared" si="104"/>
        <v>4666330</v>
      </c>
      <c r="BF110" s="42">
        <f t="shared" ref="BF110:BH117" si="114">H110-AG110</f>
        <v>332372</v>
      </c>
      <c r="BG110" s="42">
        <f t="shared" si="114"/>
        <v>486610</v>
      </c>
      <c r="BH110" s="42">
        <f t="shared" si="114"/>
        <v>0</v>
      </c>
      <c r="BI110" s="42">
        <f t="shared" si="106"/>
        <v>0</v>
      </c>
      <c r="BJ110" s="42">
        <f t="shared" ref="BJ110:BX121" si="115">L110-AK110</f>
        <v>0</v>
      </c>
      <c r="BK110" s="42">
        <f t="shared" si="115"/>
        <v>0</v>
      </c>
      <c r="BL110" s="42">
        <f t="shared" si="115"/>
        <v>0</v>
      </c>
      <c r="BM110" s="42">
        <f t="shared" si="115"/>
        <v>0</v>
      </c>
      <c r="BN110" s="42">
        <f t="shared" si="115"/>
        <v>0</v>
      </c>
      <c r="BO110" s="42">
        <f t="shared" si="115"/>
        <v>0</v>
      </c>
      <c r="BP110" s="42">
        <f t="shared" si="115"/>
        <v>0</v>
      </c>
      <c r="BQ110" s="42">
        <f t="shared" si="115"/>
        <v>0</v>
      </c>
      <c r="BR110" s="42">
        <f t="shared" si="115"/>
        <v>0</v>
      </c>
      <c r="BS110" s="42">
        <f t="shared" si="115"/>
        <v>0</v>
      </c>
      <c r="BT110" s="42">
        <f t="shared" si="115"/>
        <v>0</v>
      </c>
      <c r="BU110" s="42">
        <f t="shared" si="115"/>
        <v>0</v>
      </c>
      <c r="BV110" s="42">
        <f t="shared" si="115"/>
        <v>0</v>
      </c>
      <c r="BW110" s="42">
        <f t="shared" si="115"/>
        <v>0</v>
      </c>
      <c r="BX110" s="42">
        <f t="shared" si="115"/>
        <v>3847015</v>
      </c>
      <c r="BY110" s="42">
        <f t="shared" si="108"/>
        <v>333</v>
      </c>
      <c r="BZ110" s="42">
        <f t="shared" si="108"/>
        <v>0</v>
      </c>
      <c r="CA110" s="42"/>
      <c r="CB110" s="42">
        <f t="shared" ref="CB110:CB121" si="116">AD110-BC110</f>
        <v>0</v>
      </c>
      <c r="CC110" s="43">
        <f t="shared" ref="CC110:CC139" si="117">+CD110/G110</f>
        <v>0.84603113530382035</v>
      </c>
      <c r="CD110" s="42">
        <f t="shared" si="109"/>
        <v>406648784</v>
      </c>
      <c r="CE110" s="42">
        <f>+'[2]SEPTIEMBRE 2019'!$H$1134+'[2]SEPTIEMBRE 2019'!$H$1142+'[2]SEPTIEMBRE 2019'!$H$1157+'[2]SEPTIEMBRE 2019'!$H$1158</f>
        <v>49805474</v>
      </c>
      <c r="CF110" s="42">
        <f>+'[3]NOVIEMBRE 2019'!$H$1323+'[3]NOVIEMBRE 2019'!$H$1341+'[3]NOVIEMBRE 2019'!$H$1343+'[3]NOVIEMBRE 2019'!$H$1349+'[3]NOVIEMBRE 2019'!$H$1379</f>
        <v>177113390</v>
      </c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>
        <f>+'[3]NOVIEMBRE 2019'!$H$1423</f>
        <v>10941940</v>
      </c>
      <c r="CX110" s="42">
        <f>+'[3]NOVIEMBRE 2019'!$H$1346+'[3]NOVIEMBRE 2019'!$H$1348+'[3]NOVIEMBRE 2019'!$H$1351+'[3]NOVIEMBRE 2019'!$H$1354+'[3]NOVIEMBRE 2019'!$H$1358+'[3]NOVIEMBRE 2019'!$H$1362+'[3]NOVIEMBRE 2019'!$H$1373+'[3]NOVIEMBRE 2019'!$H$1387+'[3]NOVIEMBRE 2019'!$H$1401+'[3]NOVIEMBRE 2019'!$H$1416</f>
        <v>164658543</v>
      </c>
      <c r="CY110" s="42"/>
      <c r="CZ110" s="42"/>
      <c r="DA110" s="42">
        <f>+'[3]NOVIEMBRE 2019'!$H$1393+'[3]NOVIEMBRE 2019'!$H$1403+'[3]NOVIEMBRE 2019'!$H$1428+'[3]NOVIEMBRE 2019'!$H$1431</f>
        <v>4129437</v>
      </c>
      <c r="DB110" s="43">
        <f t="shared" si="62"/>
        <v>0.15396886469617965</v>
      </c>
      <c r="DC110" s="42">
        <f t="shared" si="82"/>
        <v>74005848</v>
      </c>
      <c r="DD110" s="42">
        <f t="shared" si="110"/>
        <v>332372</v>
      </c>
      <c r="DE110" s="42">
        <f t="shared" si="110"/>
        <v>2886610</v>
      </c>
      <c r="DF110" s="42">
        <f>J110-CG110</f>
        <v>0</v>
      </c>
      <c r="DG110" s="42">
        <f t="shared" si="111"/>
        <v>0</v>
      </c>
      <c r="DH110" s="42">
        <f t="shared" si="111"/>
        <v>0</v>
      </c>
      <c r="DI110" s="42">
        <f t="shared" si="111"/>
        <v>0</v>
      </c>
      <c r="DJ110" s="42">
        <f t="shared" si="111"/>
        <v>0</v>
      </c>
      <c r="DK110" s="42">
        <f t="shared" si="111"/>
        <v>0</v>
      </c>
      <c r="DL110" s="42">
        <f t="shared" si="111"/>
        <v>0</v>
      </c>
      <c r="DM110" s="42">
        <f t="shared" si="111"/>
        <v>0</v>
      </c>
      <c r="DN110" s="42">
        <f t="shared" si="111"/>
        <v>0</v>
      </c>
      <c r="DO110" s="42">
        <f t="shared" si="111"/>
        <v>0</v>
      </c>
      <c r="DP110" s="42">
        <f t="shared" si="111"/>
        <v>0</v>
      </c>
      <c r="DQ110" s="42">
        <f t="shared" si="111"/>
        <v>0</v>
      </c>
      <c r="DR110" s="42">
        <f t="shared" si="111"/>
        <v>0</v>
      </c>
      <c r="DS110" s="42">
        <f t="shared" si="111"/>
        <v>0</v>
      </c>
      <c r="DT110" s="42">
        <f t="shared" si="111"/>
        <v>0</v>
      </c>
      <c r="DU110" s="42">
        <f t="shared" si="111"/>
        <v>0</v>
      </c>
      <c r="DV110" s="42">
        <f t="shared" si="111"/>
        <v>63847015</v>
      </c>
      <c r="DW110" s="42">
        <f t="shared" si="112"/>
        <v>3309833</v>
      </c>
      <c r="DX110" s="42">
        <f t="shared" si="112"/>
        <v>0</v>
      </c>
      <c r="DY110" s="42"/>
      <c r="DZ110" s="42">
        <f t="shared" si="113"/>
        <v>3630018</v>
      </c>
      <c r="EB110" s="47">
        <f t="shared" si="63"/>
        <v>480654632</v>
      </c>
      <c r="EC110" s="47">
        <f t="shared" si="64"/>
        <v>480654632</v>
      </c>
      <c r="ED110" s="47">
        <f t="shared" si="65"/>
        <v>480654632</v>
      </c>
      <c r="EF110" s="63"/>
      <c r="EI110" s="74">
        <f t="shared" si="87"/>
        <v>480654632</v>
      </c>
      <c r="EJ110" s="74">
        <f t="shared" si="101"/>
        <v>406648784</v>
      </c>
      <c r="EK110" s="241"/>
    </row>
    <row r="111" spans="1:141" ht="19.2" hidden="1" customHeight="1" x14ac:dyDescent="0.3">
      <c r="A111" s="124"/>
      <c r="B111" s="87" t="s">
        <v>313</v>
      </c>
      <c r="C111" s="78" t="s">
        <v>314</v>
      </c>
      <c r="D111" s="39" t="s">
        <v>315</v>
      </c>
      <c r="E111" s="40">
        <v>301</v>
      </c>
      <c r="F111" s="41" t="s">
        <v>312</v>
      </c>
      <c r="G111" s="42">
        <f t="shared" si="102"/>
        <v>393609249</v>
      </c>
      <c r="H111" s="42"/>
      <c r="I111" s="42"/>
      <c r="J111" s="42"/>
      <c r="K111" s="42"/>
      <c r="L111" s="42"/>
      <c r="M111" s="42">
        <v>208000000</v>
      </c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>
        <v>100000000</v>
      </c>
      <c r="Y111" s="42">
        <v>32712008</v>
      </c>
      <c r="Z111" s="42">
        <f>40000000</f>
        <v>40000000</v>
      </c>
      <c r="AA111" s="42"/>
      <c r="AB111" s="42"/>
      <c r="AC111" s="42"/>
      <c r="AD111" s="42">
        <f>12000000+1000000-102759</f>
        <v>12897241</v>
      </c>
      <c r="AE111" s="43">
        <f t="shared" si="88"/>
        <v>0.97575597366107625</v>
      </c>
      <c r="AF111" s="42">
        <f t="shared" si="103"/>
        <v>384066576</v>
      </c>
      <c r="AG111" s="42"/>
      <c r="AH111" s="42"/>
      <c r="AI111" s="42"/>
      <c r="AJ111" s="42"/>
      <c r="AK111" s="42"/>
      <c r="AL111" s="42">
        <f>+'[3]NOVIEMBRE 2019'!$O$1439</f>
        <v>200411327</v>
      </c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>
        <f>+'[3]NOVIEMBRE 2019'!$Z$1439</f>
        <v>98046000</v>
      </c>
      <c r="AX111" s="42">
        <f>+'[12]JULIO 2019'!$Z$855</f>
        <v>32712008</v>
      </c>
      <c r="AY111" s="42">
        <f>+'[2]SEPTIEMBRE 2019'!$AB$1171</f>
        <v>40000000</v>
      </c>
      <c r="AZ111" s="42"/>
      <c r="BA111" s="42"/>
      <c r="BB111" s="42"/>
      <c r="BC111" s="42">
        <f>+'[2]SEPTIEMBRE 2019'!$AG$1171</f>
        <v>12897241</v>
      </c>
      <c r="BD111" s="43">
        <f t="shared" si="60"/>
        <v>2.4244026338923752E-2</v>
      </c>
      <c r="BE111" s="42">
        <f t="shared" si="104"/>
        <v>9542673</v>
      </c>
      <c r="BF111" s="42">
        <f t="shared" si="114"/>
        <v>0</v>
      </c>
      <c r="BG111" s="42">
        <f t="shared" si="114"/>
        <v>0</v>
      </c>
      <c r="BH111" s="42">
        <f t="shared" si="114"/>
        <v>0</v>
      </c>
      <c r="BI111" s="42">
        <f t="shared" si="106"/>
        <v>0</v>
      </c>
      <c r="BJ111" s="42">
        <f t="shared" si="115"/>
        <v>0</v>
      </c>
      <c r="BK111" s="42">
        <f t="shared" si="115"/>
        <v>7588673</v>
      </c>
      <c r="BL111" s="42">
        <f t="shared" si="115"/>
        <v>0</v>
      </c>
      <c r="BM111" s="42">
        <f t="shared" si="115"/>
        <v>0</v>
      </c>
      <c r="BN111" s="42">
        <f t="shared" si="115"/>
        <v>0</v>
      </c>
      <c r="BO111" s="42">
        <f t="shared" si="115"/>
        <v>0</v>
      </c>
      <c r="BP111" s="42">
        <f t="shared" si="115"/>
        <v>0</v>
      </c>
      <c r="BQ111" s="42">
        <f t="shared" si="115"/>
        <v>0</v>
      </c>
      <c r="BR111" s="42">
        <f t="shared" si="115"/>
        <v>0</v>
      </c>
      <c r="BS111" s="42">
        <f t="shared" si="115"/>
        <v>0</v>
      </c>
      <c r="BT111" s="42">
        <f t="shared" si="115"/>
        <v>0</v>
      </c>
      <c r="BU111" s="42">
        <f t="shared" si="115"/>
        <v>0</v>
      </c>
      <c r="BV111" s="42">
        <f t="shared" si="115"/>
        <v>1954000</v>
      </c>
      <c r="BW111" s="42">
        <f t="shared" si="115"/>
        <v>0</v>
      </c>
      <c r="BX111" s="42">
        <f t="shared" si="115"/>
        <v>0</v>
      </c>
      <c r="BY111" s="42">
        <f t="shared" si="108"/>
        <v>0</v>
      </c>
      <c r="BZ111" s="42">
        <f t="shared" si="108"/>
        <v>0</v>
      </c>
      <c r="CA111" s="42"/>
      <c r="CB111" s="42">
        <f t="shared" si="116"/>
        <v>0</v>
      </c>
      <c r="CC111" s="43">
        <f t="shared" si="117"/>
        <v>0.96863867139463489</v>
      </c>
      <c r="CD111" s="42">
        <f t="shared" si="109"/>
        <v>381265140</v>
      </c>
      <c r="CE111" s="42"/>
      <c r="CF111" s="42"/>
      <c r="CG111" s="42"/>
      <c r="CH111" s="42"/>
      <c r="CI111" s="42"/>
      <c r="CJ111" s="42">
        <f>+'[2]SEPTIEMBRE 2019'!$H$1172+'[2]SEPTIEMBRE 2019'!$O$1233-2</f>
        <v>205876669</v>
      </c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>
        <f>+'[1]OCTUBRE 2019'!$H$1332+'[1]OCTUBRE 2019'!$H$1335+'[1]OCTUBRE 2019'!$H$1340+'[1]OCTUBRE 2019'!$H$1343+'[1]OCTUBRE 2019'!$H$1352+'[1]OCTUBRE 2019'!$H$1355+'[1]OCTUBRE 2019'!$H$1359+'[1]OCTUBRE 2019'!$H$1362+'[1]OCTUBRE 2019'!$Z$1367</f>
        <v>96846000</v>
      </c>
      <c r="CV111" s="42">
        <f>+'[1]OCTUBRE 2019'!$AA$1367-'[1]OCTUBRE 2019'!$I$1367</f>
        <v>27246666</v>
      </c>
      <c r="CW111" s="42">
        <f>+'[1]OCTUBRE 2019'!$H$1392</f>
        <v>40000000</v>
      </c>
      <c r="CX111" s="42"/>
      <c r="CY111" s="42"/>
      <c r="CZ111" s="42"/>
      <c r="DA111" s="42">
        <f>+'[1]OCTUBRE 2019'!$H$1329+'[1]OCTUBRE 2019'!$H$1348+'[1]OCTUBRE 2019'!$H$1365+'[1]OCTUBRE 2019'!$H$1386</f>
        <v>11295805</v>
      </c>
      <c r="DB111" s="43">
        <f t="shared" si="62"/>
        <v>3.1361328605365113E-2</v>
      </c>
      <c r="DC111" s="42">
        <f t="shared" si="82"/>
        <v>12344109</v>
      </c>
      <c r="DD111" s="42">
        <f t="shared" si="110"/>
        <v>0</v>
      </c>
      <c r="DE111" s="42">
        <f t="shared" si="110"/>
        <v>0</v>
      </c>
      <c r="DF111" s="42"/>
      <c r="DG111" s="42">
        <f t="shared" si="111"/>
        <v>0</v>
      </c>
      <c r="DH111" s="42">
        <f t="shared" si="111"/>
        <v>0</v>
      </c>
      <c r="DI111" s="42">
        <f t="shared" si="111"/>
        <v>2123331</v>
      </c>
      <c r="DJ111" s="42">
        <f t="shared" si="111"/>
        <v>0</v>
      </c>
      <c r="DK111" s="42">
        <f t="shared" si="111"/>
        <v>0</v>
      </c>
      <c r="DL111" s="42">
        <f t="shared" si="111"/>
        <v>0</v>
      </c>
      <c r="DM111" s="42">
        <f t="shared" si="111"/>
        <v>0</v>
      </c>
      <c r="DN111" s="42">
        <f t="shared" si="111"/>
        <v>0</v>
      </c>
      <c r="DO111" s="42">
        <f t="shared" si="111"/>
        <v>0</v>
      </c>
      <c r="DP111" s="42">
        <f t="shared" si="111"/>
        <v>0</v>
      </c>
      <c r="DQ111" s="42">
        <f t="shared" si="111"/>
        <v>0</v>
      </c>
      <c r="DR111" s="42">
        <f t="shared" si="111"/>
        <v>0</v>
      </c>
      <c r="DS111" s="42">
        <f t="shared" si="111"/>
        <v>0</v>
      </c>
      <c r="DT111" s="42">
        <f t="shared" si="111"/>
        <v>3154000</v>
      </c>
      <c r="DU111" s="42">
        <f t="shared" si="111"/>
        <v>5465342</v>
      </c>
      <c r="DV111" s="42">
        <f t="shared" si="111"/>
        <v>0</v>
      </c>
      <c r="DW111" s="42">
        <f t="shared" si="112"/>
        <v>0</v>
      </c>
      <c r="DX111" s="42">
        <f t="shared" si="112"/>
        <v>0</v>
      </c>
      <c r="DY111" s="42"/>
      <c r="DZ111" s="42">
        <f t="shared" si="113"/>
        <v>1601436</v>
      </c>
      <c r="EB111" s="47">
        <f t="shared" si="63"/>
        <v>393609249</v>
      </c>
      <c r="EC111" s="47">
        <f t="shared" si="64"/>
        <v>393609249</v>
      </c>
      <c r="ED111" s="47">
        <f t="shared" si="65"/>
        <v>393609249</v>
      </c>
      <c r="EI111" s="74">
        <f t="shared" si="87"/>
        <v>393609249</v>
      </c>
      <c r="EJ111" s="74">
        <f t="shared" si="101"/>
        <v>381265140</v>
      </c>
      <c r="EK111" s="241"/>
    </row>
    <row r="112" spans="1:141" ht="30" hidden="1" customHeight="1" x14ac:dyDescent="0.3">
      <c r="A112" s="124"/>
      <c r="B112" s="83" t="s">
        <v>316</v>
      </c>
      <c r="C112" s="78" t="s">
        <v>317</v>
      </c>
      <c r="D112" s="39" t="s">
        <v>318</v>
      </c>
      <c r="E112" s="40">
        <v>301</v>
      </c>
      <c r="F112" s="41" t="s">
        <v>319</v>
      </c>
      <c r="G112" s="42">
        <f t="shared" si="102"/>
        <v>184833400</v>
      </c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>
        <v>50000000</v>
      </c>
      <c r="AB112" s="42"/>
      <c r="AC112" s="42"/>
      <c r="AD112" s="42">
        <f>72963935+8272669+25096796+15000000+1500000+12000000</f>
        <v>134833400</v>
      </c>
      <c r="AE112" s="43">
        <f t="shared" si="88"/>
        <v>0.95200923642588409</v>
      </c>
      <c r="AF112" s="42">
        <f t="shared" si="103"/>
        <v>175963104</v>
      </c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>
        <f>+'[7]MAYO 2019'!$AB$617</f>
        <v>49997500</v>
      </c>
      <c r="BA112" s="42"/>
      <c r="BB112" s="42"/>
      <c r="BC112" s="42">
        <f>+'[3]NOVIEMBRE 2019'!$AG$1533</f>
        <v>125965604</v>
      </c>
      <c r="BD112" s="43">
        <f t="shared" si="60"/>
        <v>4.7990763574115913E-2</v>
      </c>
      <c r="BE112" s="42">
        <f t="shared" si="104"/>
        <v>8870296</v>
      </c>
      <c r="BF112" s="42">
        <f t="shared" si="114"/>
        <v>0</v>
      </c>
      <c r="BG112" s="42">
        <f t="shared" si="114"/>
        <v>0</v>
      </c>
      <c r="BH112" s="42">
        <f t="shared" si="114"/>
        <v>0</v>
      </c>
      <c r="BI112" s="42">
        <f t="shared" si="106"/>
        <v>0</v>
      </c>
      <c r="BJ112" s="42">
        <f t="shared" si="115"/>
        <v>0</v>
      </c>
      <c r="BK112" s="42">
        <f t="shared" si="115"/>
        <v>0</v>
      </c>
      <c r="BL112" s="42">
        <f t="shared" si="115"/>
        <v>0</v>
      </c>
      <c r="BM112" s="42">
        <f t="shared" si="115"/>
        <v>0</v>
      </c>
      <c r="BN112" s="42">
        <f t="shared" si="115"/>
        <v>0</v>
      </c>
      <c r="BO112" s="42">
        <f t="shared" si="115"/>
        <v>0</v>
      </c>
      <c r="BP112" s="42">
        <f t="shared" si="115"/>
        <v>0</v>
      </c>
      <c r="BQ112" s="42">
        <f t="shared" si="115"/>
        <v>0</v>
      </c>
      <c r="BR112" s="42">
        <f t="shared" si="115"/>
        <v>0</v>
      </c>
      <c r="BS112" s="42">
        <f t="shared" si="115"/>
        <v>0</v>
      </c>
      <c r="BT112" s="42">
        <f t="shared" si="115"/>
        <v>0</v>
      </c>
      <c r="BU112" s="42">
        <f t="shared" si="115"/>
        <v>0</v>
      </c>
      <c r="BV112" s="42">
        <f t="shared" si="115"/>
        <v>0</v>
      </c>
      <c r="BW112" s="42">
        <f t="shared" si="115"/>
        <v>0</v>
      </c>
      <c r="BX112" s="42">
        <f t="shared" si="115"/>
        <v>0</v>
      </c>
      <c r="BY112" s="42">
        <f t="shared" si="108"/>
        <v>2500</v>
      </c>
      <c r="BZ112" s="42">
        <f t="shared" si="108"/>
        <v>0</v>
      </c>
      <c r="CA112" s="42"/>
      <c r="CB112" s="42">
        <f t="shared" si="116"/>
        <v>8867796</v>
      </c>
      <c r="CC112" s="43">
        <f t="shared" si="117"/>
        <v>0.71783926498132911</v>
      </c>
      <c r="CD112" s="42">
        <f t="shared" si="109"/>
        <v>132680672</v>
      </c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>
        <f>+'[3]NOVIEMBRE 2019'!$H$1542+'[3]NOVIEMBRE 2019'!$H$1546+'[3]NOVIEMBRE 2019'!$H$1549</f>
        <v>49997500</v>
      </c>
      <c r="CY112" s="42"/>
      <c r="CZ112" s="42"/>
      <c r="DA112" s="42">
        <f>+'[3]NOVIEMBRE 2019'!$H$1534+'[3]NOVIEMBRE 2019'!$H$1551+'[3]NOVIEMBRE 2019'!$H$1553+'[3]NOVIEMBRE 2019'!$H$1556+'[3]NOVIEMBRE 2019'!$H$1558+'[3]NOVIEMBRE 2019'!$H$1561+'[3]NOVIEMBRE 2019'!$H$1564+'[3]NOVIEMBRE 2019'!$H$1567+'[3]NOVIEMBRE 2019'!$H$1570+'[3]NOVIEMBRE 2019'!$H$1572</f>
        <v>82683172</v>
      </c>
      <c r="DB112" s="43">
        <f t="shared" si="62"/>
        <v>0.28216073501867089</v>
      </c>
      <c r="DC112" s="42">
        <f t="shared" si="82"/>
        <v>52152728</v>
      </c>
      <c r="DD112" s="42">
        <f t="shared" si="110"/>
        <v>0</v>
      </c>
      <c r="DE112" s="42">
        <f t="shared" si="110"/>
        <v>0</v>
      </c>
      <c r="DF112" s="42">
        <f>J112-CG112</f>
        <v>0</v>
      </c>
      <c r="DG112" s="42">
        <f t="shared" si="111"/>
        <v>0</v>
      </c>
      <c r="DH112" s="42">
        <f t="shared" si="111"/>
        <v>0</v>
      </c>
      <c r="DI112" s="42">
        <f t="shared" si="111"/>
        <v>0</v>
      </c>
      <c r="DJ112" s="42">
        <f t="shared" si="111"/>
        <v>0</v>
      </c>
      <c r="DK112" s="42">
        <f t="shared" si="111"/>
        <v>0</v>
      </c>
      <c r="DL112" s="42">
        <f t="shared" si="111"/>
        <v>0</v>
      </c>
      <c r="DM112" s="42">
        <f t="shared" si="111"/>
        <v>0</v>
      </c>
      <c r="DN112" s="42">
        <f t="shared" si="111"/>
        <v>0</v>
      </c>
      <c r="DO112" s="42">
        <f t="shared" si="111"/>
        <v>0</v>
      </c>
      <c r="DP112" s="42">
        <f t="shared" si="111"/>
        <v>0</v>
      </c>
      <c r="DQ112" s="42">
        <f t="shared" si="111"/>
        <v>0</v>
      </c>
      <c r="DR112" s="42">
        <f t="shared" si="111"/>
        <v>0</v>
      </c>
      <c r="DS112" s="42">
        <f t="shared" si="111"/>
        <v>0</v>
      </c>
      <c r="DT112" s="42">
        <f t="shared" si="111"/>
        <v>0</v>
      </c>
      <c r="DU112" s="42">
        <f t="shared" si="111"/>
        <v>0</v>
      </c>
      <c r="DV112" s="42">
        <f t="shared" si="111"/>
        <v>0</v>
      </c>
      <c r="DW112" s="42">
        <f t="shared" si="112"/>
        <v>2500</v>
      </c>
      <c r="DX112" s="42">
        <f t="shared" si="112"/>
        <v>0</v>
      </c>
      <c r="DY112" s="42"/>
      <c r="DZ112" s="42">
        <f t="shared" si="113"/>
        <v>52150228</v>
      </c>
      <c r="EB112" s="47">
        <f t="shared" si="63"/>
        <v>184833400</v>
      </c>
      <c r="EC112" s="47">
        <f t="shared" si="64"/>
        <v>184833400</v>
      </c>
      <c r="ED112" s="47">
        <f t="shared" si="65"/>
        <v>184833400</v>
      </c>
      <c r="EI112" s="74">
        <f t="shared" si="87"/>
        <v>184833400</v>
      </c>
      <c r="EJ112" s="74">
        <f t="shared" si="101"/>
        <v>132680672</v>
      </c>
      <c r="EK112" s="241"/>
    </row>
    <row r="113" spans="1:141" ht="44.4" hidden="1" customHeight="1" x14ac:dyDescent="0.3">
      <c r="A113" s="124"/>
      <c r="B113" s="86"/>
      <c r="C113" s="78" t="s">
        <v>320</v>
      </c>
      <c r="D113" s="50" t="s">
        <v>321</v>
      </c>
      <c r="E113" s="40">
        <v>301</v>
      </c>
      <c r="F113" s="41" t="s">
        <v>302</v>
      </c>
      <c r="G113" s="42">
        <f t="shared" si="102"/>
        <v>15000000</v>
      </c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>
        <v>15000000</v>
      </c>
      <c r="AB113" s="42"/>
      <c r="AC113" s="42"/>
      <c r="AD113" s="42"/>
      <c r="AE113" s="43">
        <f t="shared" si="88"/>
        <v>0.91977773333333335</v>
      </c>
      <c r="AF113" s="42">
        <f t="shared" si="103"/>
        <v>13796666</v>
      </c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>
        <f>+'[3]NOVIEMBRE 2019'!$AC$1581</f>
        <v>13796666</v>
      </c>
      <c r="BA113" s="42"/>
      <c r="BB113" s="42"/>
      <c r="BC113" s="42"/>
      <c r="BD113" s="43">
        <f t="shared" si="60"/>
        <v>8.0222266666666653E-2</v>
      </c>
      <c r="BE113" s="42">
        <f t="shared" si="104"/>
        <v>1203334</v>
      </c>
      <c r="BF113" s="42">
        <f t="shared" si="114"/>
        <v>0</v>
      </c>
      <c r="BG113" s="42">
        <f t="shared" si="114"/>
        <v>0</v>
      </c>
      <c r="BH113" s="42">
        <f t="shared" si="114"/>
        <v>0</v>
      </c>
      <c r="BI113" s="42">
        <f t="shared" si="106"/>
        <v>0</v>
      </c>
      <c r="BJ113" s="42">
        <f t="shared" si="115"/>
        <v>0</v>
      </c>
      <c r="BK113" s="42">
        <f t="shared" si="115"/>
        <v>0</v>
      </c>
      <c r="BL113" s="42">
        <f t="shared" si="115"/>
        <v>0</v>
      </c>
      <c r="BM113" s="42">
        <f t="shared" si="115"/>
        <v>0</v>
      </c>
      <c r="BN113" s="42">
        <f t="shared" si="115"/>
        <v>0</v>
      </c>
      <c r="BO113" s="42">
        <f t="shared" si="115"/>
        <v>0</v>
      </c>
      <c r="BP113" s="42">
        <f t="shared" si="115"/>
        <v>0</v>
      </c>
      <c r="BQ113" s="42">
        <f t="shared" si="115"/>
        <v>0</v>
      </c>
      <c r="BR113" s="42">
        <f t="shared" si="115"/>
        <v>0</v>
      </c>
      <c r="BS113" s="42">
        <f t="shared" si="115"/>
        <v>0</v>
      </c>
      <c r="BT113" s="42">
        <f t="shared" si="115"/>
        <v>0</v>
      </c>
      <c r="BU113" s="42">
        <f t="shared" si="115"/>
        <v>0</v>
      </c>
      <c r="BV113" s="42">
        <f t="shared" si="115"/>
        <v>0</v>
      </c>
      <c r="BW113" s="42">
        <f t="shared" si="115"/>
        <v>0</v>
      </c>
      <c r="BX113" s="42">
        <f t="shared" si="115"/>
        <v>0</v>
      </c>
      <c r="BY113" s="42">
        <f t="shared" si="108"/>
        <v>1203334</v>
      </c>
      <c r="BZ113" s="42">
        <f t="shared" si="108"/>
        <v>0</v>
      </c>
      <c r="CA113" s="42"/>
      <c r="CB113" s="42">
        <f t="shared" si="116"/>
        <v>0</v>
      </c>
      <c r="CC113" s="43">
        <f t="shared" si="117"/>
        <v>0.91977773333333335</v>
      </c>
      <c r="CD113" s="42">
        <f t="shared" si="109"/>
        <v>13796666</v>
      </c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>
        <f>+'[3]NOVIEMBRE 2019'!$H$1579</f>
        <v>13796666</v>
      </c>
      <c r="CY113" s="42"/>
      <c r="CZ113" s="42"/>
      <c r="DA113" s="42"/>
      <c r="DB113" s="43">
        <f t="shared" si="62"/>
        <v>8.0222266666666653E-2</v>
      </c>
      <c r="DC113" s="42">
        <f t="shared" si="82"/>
        <v>1203334</v>
      </c>
      <c r="DD113" s="42">
        <f t="shared" si="110"/>
        <v>0</v>
      </c>
      <c r="DE113" s="42">
        <f t="shared" si="110"/>
        <v>0</v>
      </c>
      <c r="DF113" s="42"/>
      <c r="DG113" s="42">
        <f t="shared" si="111"/>
        <v>0</v>
      </c>
      <c r="DH113" s="42">
        <f t="shared" si="111"/>
        <v>0</v>
      </c>
      <c r="DI113" s="42">
        <f t="shared" si="111"/>
        <v>0</v>
      </c>
      <c r="DJ113" s="42">
        <f t="shared" si="111"/>
        <v>0</v>
      </c>
      <c r="DK113" s="42">
        <f t="shared" si="111"/>
        <v>0</v>
      </c>
      <c r="DL113" s="42">
        <f t="shared" si="111"/>
        <v>0</v>
      </c>
      <c r="DM113" s="42">
        <f t="shared" si="111"/>
        <v>0</v>
      </c>
      <c r="DN113" s="42">
        <f t="shared" si="111"/>
        <v>0</v>
      </c>
      <c r="DO113" s="42">
        <f t="shared" si="111"/>
        <v>0</v>
      </c>
      <c r="DP113" s="42">
        <f t="shared" si="111"/>
        <v>0</v>
      </c>
      <c r="DQ113" s="42">
        <f t="shared" si="111"/>
        <v>0</v>
      </c>
      <c r="DR113" s="42">
        <f t="shared" si="111"/>
        <v>0</v>
      </c>
      <c r="DS113" s="42">
        <f t="shared" si="111"/>
        <v>0</v>
      </c>
      <c r="DT113" s="42">
        <f t="shared" si="111"/>
        <v>0</v>
      </c>
      <c r="DU113" s="42">
        <f t="shared" si="111"/>
        <v>0</v>
      </c>
      <c r="DV113" s="42">
        <f t="shared" si="111"/>
        <v>0</v>
      </c>
      <c r="DW113" s="42">
        <f t="shared" si="112"/>
        <v>1203334</v>
      </c>
      <c r="DX113" s="42">
        <f t="shared" si="112"/>
        <v>0</v>
      </c>
      <c r="DY113" s="42"/>
      <c r="DZ113" s="42">
        <f t="shared" si="113"/>
        <v>0</v>
      </c>
      <c r="EB113" s="47">
        <f t="shared" si="63"/>
        <v>15000000</v>
      </c>
      <c r="EC113" s="47">
        <f t="shared" si="64"/>
        <v>15000000</v>
      </c>
      <c r="ED113" s="47">
        <f t="shared" si="65"/>
        <v>15000000</v>
      </c>
      <c r="EI113" s="74">
        <f t="shared" si="87"/>
        <v>15000000</v>
      </c>
      <c r="EJ113" s="74">
        <f t="shared" si="101"/>
        <v>13796666</v>
      </c>
      <c r="EK113" s="241"/>
    </row>
    <row r="114" spans="1:141" ht="41.4" hidden="1" customHeight="1" x14ac:dyDescent="0.3">
      <c r="A114" s="124"/>
      <c r="B114" s="128"/>
      <c r="C114" s="78" t="s">
        <v>322</v>
      </c>
      <c r="D114" s="50" t="s">
        <v>323</v>
      </c>
      <c r="E114" s="40">
        <v>301</v>
      </c>
      <c r="F114" s="41" t="s">
        <v>302</v>
      </c>
      <c r="G114" s="42">
        <f t="shared" si="102"/>
        <v>2313284</v>
      </c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>
        <v>2313284</v>
      </c>
      <c r="AB114" s="42"/>
      <c r="AC114" s="42"/>
      <c r="AD114" s="42"/>
      <c r="AE114" s="43">
        <f t="shared" si="88"/>
        <v>1</v>
      </c>
      <c r="AF114" s="42">
        <f t="shared" si="103"/>
        <v>2313284</v>
      </c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>
        <f>+'[6]MARZO 2019'!$AB$405</f>
        <v>2313284</v>
      </c>
      <c r="BA114" s="42"/>
      <c r="BB114" s="42"/>
      <c r="BC114" s="42"/>
      <c r="BD114" s="43">
        <f t="shared" si="60"/>
        <v>0</v>
      </c>
      <c r="BE114" s="42">
        <f t="shared" si="104"/>
        <v>0</v>
      </c>
      <c r="BF114" s="42">
        <f t="shared" si="114"/>
        <v>0</v>
      </c>
      <c r="BG114" s="42">
        <f t="shared" si="114"/>
        <v>0</v>
      </c>
      <c r="BH114" s="42">
        <f t="shared" si="114"/>
        <v>0</v>
      </c>
      <c r="BI114" s="42">
        <f t="shared" si="106"/>
        <v>0</v>
      </c>
      <c r="BJ114" s="42">
        <f t="shared" si="115"/>
        <v>0</v>
      </c>
      <c r="BK114" s="42">
        <f t="shared" si="115"/>
        <v>0</v>
      </c>
      <c r="BL114" s="42">
        <f t="shared" si="115"/>
        <v>0</v>
      </c>
      <c r="BM114" s="42">
        <f t="shared" si="115"/>
        <v>0</v>
      </c>
      <c r="BN114" s="42">
        <f t="shared" si="115"/>
        <v>0</v>
      </c>
      <c r="BO114" s="42">
        <f t="shared" si="115"/>
        <v>0</v>
      </c>
      <c r="BP114" s="42">
        <f t="shared" si="115"/>
        <v>0</v>
      </c>
      <c r="BQ114" s="42">
        <f t="shared" si="115"/>
        <v>0</v>
      </c>
      <c r="BR114" s="42">
        <f t="shared" si="115"/>
        <v>0</v>
      </c>
      <c r="BS114" s="42">
        <f t="shared" si="115"/>
        <v>0</v>
      </c>
      <c r="BT114" s="42">
        <f t="shared" si="115"/>
        <v>0</v>
      </c>
      <c r="BU114" s="42">
        <f t="shared" si="115"/>
        <v>0</v>
      </c>
      <c r="BV114" s="42">
        <f t="shared" si="115"/>
        <v>0</v>
      </c>
      <c r="BW114" s="42">
        <f t="shared" si="115"/>
        <v>0</v>
      </c>
      <c r="BX114" s="42">
        <f t="shared" si="115"/>
        <v>0</v>
      </c>
      <c r="BY114" s="42">
        <f t="shared" si="108"/>
        <v>0</v>
      </c>
      <c r="BZ114" s="42">
        <f t="shared" si="108"/>
        <v>0</v>
      </c>
      <c r="CA114" s="42"/>
      <c r="CB114" s="42">
        <f t="shared" si="116"/>
        <v>0</v>
      </c>
      <c r="CC114" s="43">
        <f t="shared" si="117"/>
        <v>0</v>
      </c>
      <c r="CD114" s="42">
        <f t="shared" si="109"/>
        <v>0</v>
      </c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3">
        <f t="shared" si="62"/>
        <v>1</v>
      </c>
      <c r="DC114" s="42">
        <f t="shared" si="82"/>
        <v>2313284</v>
      </c>
      <c r="DD114" s="42">
        <f t="shared" si="110"/>
        <v>0</v>
      </c>
      <c r="DE114" s="42">
        <f t="shared" si="110"/>
        <v>0</v>
      </c>
      <c r="DF114" s="42"/>
      <c r="DG114" s="42">
        <f t="shared" si="111"/>
        <v>0</v>
      </c>
      <c r="DH114" s="42">
        <f t="shared" si="111"/>
        <v>0</v>
      </c>
      <c r="DI114" s="42">
        <f t="shared" si="111"/>
        <v>0</v>
      </c>
      <c r="DJ114" s="42">
        <f t="shared" si="111"/>
        <v>0</v>
      </c>
      <c r="DK114" s="42">
        <f t="shared" si="111"/>
        <v>0</v>
      </c>
      <c r="DL114" s="42">
        <f t="shared" si="111"/>
        <v>0</v>
      </c>
      <c r="DM114" s="42">
        <f t="shared" si="111"/>
        <v>0</v>
      </c>
      <c r="DN114" s="42">
        <f t="shared" si="111"/>
        <v>0</v>
      </c>
      <c r="DO114" s="42">
        <f t="shared" si="111"/>
        <v>0</v>
      </c>
      <c r="DP114" s="42">
        <f t="shared" si="111"/>
        <v>0</v>
      </c>
      <c r="DQ114" s="42">
        <f t="shared" si="111"/>
        <v>0</v>
      </c>
      <c r="DR114" s="42">
        <f t="shared" si="111"/>
        <v>0</v>
      </c>
      <c r="DS114" s="42">
        <f t="shared" si="111"/>
        <v>0</v>
      </c>
      <c r="DT114" s="42">
        <f t="shared" si="111"/>
        <v>0</v>
      </c>
      <c r="DU114" s="42">
        <f t="shared" si="111"/>
        <v>0</v>
      </c>
      <c r="DV114" s="42">
        <f t="shared" si="111"/>
        <v>0</v>
      </c>
      <c r="DW114" s="42">
        <f t="shared" si="112"/>
        <v>2313284</v>
      </c>
      <c r="DX114" s="42">
        <f t="shared" si="112"/>
        <v>0</v>
      </c>
      <c r="DY114" s="42"/>
      <c r="DZ114" s="42">
        <f t="shared" si="113"/>
        <v>0</v>
      </c>
      <c r="EB114" s="47">
        <f t="shared" si="63"/>
        <v>2313284</v>
      </c>
      <c r="EC114" s="47">
        <f t="shared" si="64"/>
        <v>2313284</v>
      </c>
      <c r="ED114" s="47">
        <f t="shared" si="65"/>
        <v>2313284</v>
      </c>
      <c r="EI114" s="74">
        <f t="shared" si="87"/>
        <v>2313284</v>
      </c>
      <c r="EJ114" s="74">
        <f t="shared" si="101"/>
        <v>0</v>
      </c>
      <c r="EK114" s="241"/>
    </row>
    <row r="115" spans="1:141" ht="17.399999999999999" hidden="1" customHeight="1" x14ac:dyDescent="0.3">
      <c r="A115" s="124"/>
      <c r="B115" s="128"/>
      <c r="C115" s="78" t="s">
        <v>324</v>
      </c>
      <c r="D115" s="50" t="s">
        <v>325</v>
      </c>
      <c r="E115" s="40">
        <v>301</v>
      </c>
      <c r="F115" s="41" t="s">
        <v>302</v>
      </c>
      <c r="G115" s="42">
        <f t="shared" si="102"/>
        <v>10000000</v>
      </c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>
        <v>10000000</v>
      </c>
      <c r="AB115" s="42"/>
      <c r="AC115" s="42"/>
      <c r="AD115" s="42"/>
      <c r="AE115" s="43">
        <f t="shared" si="88"/>
        <v>1</v>
      </c>
      <c r="AF115" s="42">
        <f t="shared" si="103"/>
        <v>10000000</v>
      </c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>
        <f>+'[6]MARZO 2019'!$AB$411</f>
        <v>10000000</v>
      </c>
      <c r="BA115" s="42"/>
      <c r="BB115" s="42"/>
      <c r="BC115" s="42"/>
      <c r="BD115" s="43">
        <f t="shared" si="60"/>
        <v>0</v>
      </c>
      <c r="BE115" s="42">
        <f t="shared" si="104"/>
        <v>0</v>
      </c>
      <c r="BF115" s="42">
        <f t="shared" si="114"/>
        <v>0</v>
      </c>
      <c r="BG115" s="42">
        <f t="shared" si="114"/>
        <v>0</v>
      </c>
      <c r="BH115" s="42">
        <f t="shared" si="114"/>
        <v>0</v>
      </c>
      <c r="BI115" s="42">
        <f t="shared" si="106"/>
        <v>0</v>
      </c>
      <c r="BJ115" s="42">
        <f t="shared" si="115"/>
        <v>0</v>
      </c>
      <c r="BK115" s="42">
        <f t="shared" si="115"/>
        <v>0</v>
      </c>
      <c r="BL115" s="42">
        <f t="shared" si="115"/>
        <v>0</v>
      </c>
      <c r="BM115" s="42">
        <f t="shared" si="115"/>
        <v>0</v>
      </c>
      <c r="BN115" s="42">
        <f t="shared" si="115"/>
        <v>0</v>
      </c>
      <c r="BO115" s="42">
        <f t="shared" si="115"/>
        <v>0</v>
      </c>
      <c r="BP115" s="42">
        <f t="shared" si="115"/>
        <v>0</v>
      </c>
      <c r="BQ115" s="42">
        <f t="shared" si="115"/>
        <v>0</v>
      </c>
      <c r="BR115" s="42">
        <f t="shared" si="115"/>
        <v>0</v>
      </c>
      <c r="BS115" s="42">
        <f t="shared" si="115"/>
        <v>0</v>
      </c>
      <c r="BT115" s="42">
        <f t="shared" si="115"/>
        <v>0</v>
      </c>
      <c r="BU115" s="42">
        <f t="shared" si="115"/>
        <v>0</v>
      </c>
      <c r="BV115" s="42">
        <f t="shared" si="115"/>
        <v>0</v>
      </c>
      <c r="BW115" s="42">
        <f t="shared" si="115"/>
        <v>0</v>
      </c>
      <c r="BX115" s="42">
        <f t="shared" si="115"/>
        <v>0</v>
      </c>
      <c r="BY115" s="42">
        <f t="shared" si="108"/>
        <v>0</v>
      </c>
      <c r="BZ115" s="42">
        <f t="shared" si="108"/>
        <v>0</v>
      </c>
      <c r="CA115" s="42"/>
      <c r="CB115" s="42">
        <f t="shared" si="116"/>
        <v>0</v>
      </c>
      <c r="CC115" s="43">
        <f t="shared" si="117"/>
        <v>0</v>
      </c>
      <c r="CD115" s="42">
        <f t="shared" si="109"/>
        <v>0</v>
      </c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3">
        <f t="shared" si="62"/>
        <v>1</v>
      </c>
      <c r="DC115" s="42">
        <f t="shared" si="82"/>
        <v>10000000</v>
      </c>
      <c r="DD115" s="42">
        <f t="shared" si="110"/>
        <v>0</v>
      </c>
      <c r="DE115" s="42">
        <f t="shared" si="110"/>
        <v>0</v>
      </c>
      <c r="DF115" s="42"/>
      <c r="DG115" s="42">
        <f t="shared" si="111"/>
        <v>0</v>
      </c>
      <c r="DH115" s="42">
        <f t="shared" si="111"/>
        <v>0</v>
      </c>
      <c r="DI115" s="42">
        <f t="shared" si="111"/>
        <v>0</v>
      </c>
      <c r="DJ115" s="42">
        <f t="shared" si="111"/>
        <v>0</v>
      </c>
      <c r="DK115" s="42">
        <f t="shared" si="111"/>
        <v>0</v>
      </c>
      <c r="DL115" s="42">
        <f t="shared" si="111"/>
        <v>0</v>
      </c>
      <c r="DM115" s="42">
        <f t="shared" si="111"/>
        <v>0</v>
      </c>
      <c r="DN115" s="42">
        <f t="shared" si="111"/>
        <v>0</v>
      </c>
      <c r="DO115" s="42">
        <f t="shared" si="111"/>
        <v>0</v>
      </c>
      <c r="DP115" s="42">
        <f t="shared" si="111"/>
        <v>0</v>
      </c>
      <c r="DQ115" s="42">
        <f t="shared" si="111"/>
        <v>0</v>
      </c>
      <c r="DR115" s="42">
        <f t="shared" si="111"/>
        <v>0</v>
      </c>
      <c r="DS115" s="42">
        <f t="shared" si="111"/>
        <v>0</v>
      </c>
      <c r="DT115" s="42">
        <f t="shared" si="111"/>
        <v>0</v>
      </c>
      <c r="DU115" s="42">
        <f t="shared" si="111"/>
        <v>0</v>
      </c>
      <c r="DV115" s="42">
        <f t="shared" si="111"/>
        <v>0</v>
      </c>
      <c r="DW115" s="42">
        <f t="shared" si="112"/>
        <v>10000000</v>
      </c>
      <c r="DX115" s="42">
        <f t="shared" si="112"/>
        <v>0</v>
      </c>
      <c r="DY115" s="42"/>
      <c r="DZ115" s="42">
        <f t="shared" si="113"/>
        <v>0</v>
      </c>
      <c r="EB115" s="47">
        <f t="shared" si="63"/>
        <v>10000000</v>
      </c>
      <c r="EC115" s="47">
        <f t="shared" si="64"/>
        <v>10000000</v>
      </c>
      <c r="ED115" s="47">
        <f t="shared" si="65"/>
        <v>10000000</v>
      </c>
      <c r="EI115" s="74">
        <f t="shared" si="87"/>
        <v>10000000</v>
      </c>
      <c r="EJ115" s="74">
        <f t="shared" si="101"/>
        <v>0</v>
      </c>
      <c r="EK115" s="241"/>
    </row>
    <row r="116" spans="1:141" ht="15.6" hidden="1" customHeight="1" x14ac:dyDescent="0.3">
      <c r="A116" s="124"/>
      <c r="B116" s="128"/>
      <c r="C116" s="78" t="s">
        <v>326</v>
      </c>
      <c r="D116" s="50" t="s">
        <v>327</v>
      </c>
      <c r="E116" s="40">
        <v>301</v>
      </c>
      <c r="F116" s="41" t="s">
        <v>302</v>
      </c>
      <c r="G116" s="42">
        <f t="shared" si="102"/>
        <v>6000000</v>
      </c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>
        <v>6000000</v>
      </c>
      <c r="AB116" s="42"/>
      <c r="AC116" s="42"/>
      <c r="AD116" s="42"/>
      <c r="AE116" s="43">
        <f t="shared" si="88"/>
        <v>1</v>
      </c>
      <c r="AF116" s="42">
        <f t="shared" si="103"/>
        <v>6000000</v>
      </c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>
        <f>+'[6]MARZO 2019'!$AB$417</f>
        <v>6000000</v>
      </c>
      <c r="BA116" s="42"/>
      <c r="BB116" s="42"/>
      <c r="BC116" s="42"/>
      <c r="BD116" s="43">
        <f t="shared" si="60"/>
        <v>0</v>
      </c>
      <c r="BE116" s="42">
        <f t="shared" si="104"/>
        <v>0</v>
      </c>
      <c r="BF116" s="42">
        <f t="shared" si="114"/>
        <v>0</v>
      </c>
      <c r="BG116" s="42">
        <f t="shared" si="114"/>
        <v>0</v>
      </c>
      <c r="BH116" s="42">
        <f t="shared" si="114"/>
        <v>0</v>
      </c>
      <c r="BI116" s="42">
        <f t="shared" si="106"/>
        <v>0</v>
      </c>
      <c r="BJ116" s="42">
        <f t="shared" si="115"/>
        <v>0</v>
      </c>
      <c r="BK116" s="42">
        <f t="shared" si="115"/>
        <v>0</v>
      </c>
      <c r="BL116" s="42">
        <f t="shared" si="115"/>
        <v>0</v>
      </c>
      <c r="BM116" s="42">
        <f t="shared" si="115"/>
        <v>0</v>
      </c>
      <c r="BN116" s="42">
        <f t="shared" si="115"/>
        <v>0</v>
      </c>
      <c r="BO116" s="42">
        <f t="shared" si="115"/>
        <v>0</v>
      </c>
      <c r="BP116" s="42">
        <f t="shared" si="115"/>
        <v>0</v>
      </c>
      <c r="BQ116" s="42">
        <f t="shared" si="115"/>
        <v>0</v>
      </c>
      <c r="BR116" s="42">
        <f t="shared" si="115"/>
        <v>0</v>
      </c>
      <c r="BS116" s="42">
        <f t="shared" si="115"/>
        <v>0</v>
      </c>
      <c r="BT116" s="42">
        <f t="shared" si="115"/>
        <v>0</v>
      </c>
      <c r="BU116" s="42">
        <f t="shared" si="115"/>
        <v>0</v>
      </c>
      <c r="BV116" s="42">
        <f t="shared" si="115"/>
        <v>0</v>
      </c>
      <c r="BW116" s="42">
        <f t="shared" si="115"/>
        <v>0</v>
      </c>
      <c r="BX116" s="42">
        <f t="shared" si="115"/>
        <v>0</v>
      </c>
      <c r="BY116" s="42">
        <f t="shared" si="108"/>
        <v>0</v>
      </c>
      <c r="BZ116" s="42">
        <f t="shared" si="108"/>
        <v>0</v>
      </c>
      <c r="CA116" s="42"/>
      <c r="CB116" s="42">
        <f t="shared" si="116"/>
        <v>0</v>
      </c>
      <c r="CC116" s="43">
        <f t="shared" si="117"/>
        <v>1</v>
      </c>
      <c r="CD116" s="42">
        <f t="shared" si="109"/>
        <v>6000000</v>
      </c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>
        <f>+'[3]NOVIEMBRE 2019'!$H$1601</f>
        <v>6000000</v>
      </c>
      <c r="CY116" s="42"/>
      <c r="CZ116" s="42"/>
      <c r="DA116" s="42"/>
      <c r="DB116" s="43">
        <f t="shared" si="62"/>
        <v>0</v>
      </c>
      <c r="DC116" s="42">
        <f t="shared" si="82"/>
        <v>0</v>
      </c>
      <c r="DD116" s="42">
        <f t="shared" si="110"/>
        <v>0</v>
      </c>
      <c r="DE116" s="42">
        <f t="shared" si="110"/>
        <v>0</v>
      </c>
      <c r="DF116" s="42"/>
      <c r="DG116" s="42">
        <f t="shared" si="111"/>
        <v>0</v>
      </c>
      <c r="DH116" s="42">
        <f t="shared" si="111"/>
        <v>0</v>
      </c>
      <c r="DI116" s="42">
        <f t="shared" si="111"/>
        <v>0</v>
      </c>
      <c r="DJ116" s="42">
        <f t="shared" si="111"/>
        <v>0</v>
      </c>
      <c r="DK116" s="42">
        <f t="shared" si="111"/>
        <v>0</v>
      </c>
      <c r="DL116" s="42">
        <f t="shared" si="111"/>
        <v>0</v>
      </c>
      <c r="DM116" s="42">
        <f t="shared" si="111"/>
        <v>0</v>
      </c>
      <c r="DN116" s="42">
        <f t="shared" si="111"/>
        <v>0</v>
      </c>
      <c r="DO116" s="42">
        <f t="shared" si="111"/>
        <v>0</v>
      </c>
      <c r="DP116" s="42">
        <f t="shared" si="111"/>
        <v>0</v>
      </c>
      <c r="DQ116" s="42">
        <f t="shared" si="111"/>
        <v>0</v>
      </c>
      <c r="DR116" s="42">
        <f t="shared" si="111"/>
        <v>0</v>
      </c>
      <c r="DS116" s="42">
        <f t="shared" si="111"/>
        <v>0</v>
      </c>
      <c r="DT116" s="42">
        <f t="shared" si="111"/>
        <v>0</v>
      </c>
      <c r="DU116" s="42">
        <f t="shared" si="111"/>
        <v>0</v>
      </c>
      <c r="DV116" s="42">
        <f t="shared" si="111"/>
        <v>0</v>
      </c>
      <c r="DW116" s="42">
        <f t="shared" si="112"/>
        <v>0</v>
      </c>
      <c r="DX116" s="42">
        <f t="shared" si="112"/>
        <v>0</v>
      </c>
      <c r="DY116" s="42"/>
      <c r="DZ116" s="42">
        <f t="shared" si="113"/>
        <v>0</v>
      </c>
      <c r="EB116" s="47">
        <f t="shared" si="63"/>
        <v>6000000</v>
      </c>
      <c r="EC116" s="47">
        <f t="shared" si="64"/>
        <v>6000000</v>
      </c>
      <c r="ED116" s="47">
        <f t="shared" si="65"/>
        <v>6000000</v>
      </c>
      <c r="EI116" s="74">
        <f t="shared" si="87"/>
        <v>6000000</v>
      </c>
      <c r="EJ116" s="74">
        <f t="shared" si="101"/>
        <v>6000000</v>
      </c>
      <c r="EK116" s="241"/>
    </row>
    <row r="117" spans="1:141" ht="26.4" hidden="1" customHeight="1" x14ac:dyDescent="0.3">
      <c r="A117" s="124"/>
      <c r="B117" s="109" t="s">
        <v>328</v>
      </c>
      <c r="C117" s="78" t="s">
        <v>329</v>
      </c>
      <c r="D117" s="39" t="s">
        <v>330</v>
      </c>
      <c r="E117" s="40">
        <v>301</v>
      </c>
      <c r="F117" s="41" t="s">
        <v>302</v>
      </c>
      <c r="G117" s="42">
        <f t="shared" si="102"/>
        <v>1564414901</v>
      </c>
      <c r="H117" s="42">
        <v>328968376</v>
      </c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>
        <v>1235446525</v>
      </c>
      <c r="AB117" s="42"/>
      <c r="AC117" s="42"/>
      <c r="AD117" s="42"/>
      <c r="AE117" s="43">
        <f t="shared" si="88"/>
        <v>0.99241515534503333</v>
      </c>
      <c r="AF117" s="42">
        <f t="shared" si="103"/>
        <v>1552549057</v>
      </c>
      <c r="AG117" s="42">
        <f>+'[10]ENERO 2019'!$J$303</f>
        <v>328965376</v>
      </c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>
        <f>+'[3]NOVIEMBRE 2019'!$AC$1616</f>
        <v>1223583681</v>
      </c>
      <c r="BA117" s="42"/>
      <c r="BB117" s="42"/>
      <c r="BC117" s="42"/>
      <c r="BD117" s="43">
        <f t="shared" si="60"/>
        <v>7.5848446549666715E-3</v>
      </c>
      <c r="BE117" s="42">
        <f t="shared" si="104"/>
        <v>11865844</v>
      </c>
      <c r="BF117" s="42">
        <f t="shared" si="114"/>
        <v>3000</v>
      </c>
      <c r="BG117" s="42">
        <f t="shared" si="114"/>
        <v>0</v>
      </c>
      <c r="BH117" s="42">
        <f t="shared" si="114"/>
        <v>0</v>
      </c>
      <c r="BI117" s="42">
        <f t="shared" si="106"/>
        <v>0</v>
      </c>
      <c r="BJ117" s="42">
        <f t="shared" si="115"/>
        <v>0</v>
      </c>
      <c r="BK117" s="42">
        <f t="shared" si="115"/>
        <v>0</v>
      </c>
      <c r="BL117" s="42">
        <f t="shared" si="115"/>
        <v>0</v>
      </c>
      <c r="BM117" s="42">
        <f t="shared" si="115"/>
        <v>0</v>
      </c>
      <c r="BN117" s="42">
        <f t="shared" si="115"/>
        <v>0</v>
      </c>
      <c r="BO117" s="42">
        <f t="shared" si="115"/>
        <v>0</v>
      </c>
      <c r="BP117" s="42">
        <f t="shared" si="115"/>
        <v>0</v>
      </c>
      <c r="BQ117" s="42">
        <f t="shared" si="115"/>
        <v>0</v>
      </c>
      <c r="BR117" s="42">
        <f t="shared" si="115"/>
        <v>0</v>
      </c>
      <c r="BS117" s="42">
        <f t="shared" si="115"/>
        <v>0</v>
      </c>
      <c r="BT117" s="42">
        <f t="shared" si="115"/>
        <v>0</v>
      </c>
      <c r="BU117" s="42">
        <f t="shared" si="115"/>
        <v>0</v>
      </c>
      <c r="BV117" s="42">
        <f t="shared" si="115"/>
        <v>0</v>
      </c>
      <c r="BW117" s="42">
        <f t="shared" si="115"/>
        <v>0</v>
      </c>
      <c r="BX117" s="42">
        <f t="shared" si="115"/>
        <v>0</v>
      </c>
      <c r="BY117" s="42">
        <f t="shared" si="108"/>
        <v>11862844</v>
      </c>
      <c r="BZ117" s="42">
        <f t="shared" si="108"/>
        <v>0</v>
      </c>
      <c r="CA117" s="42"/>
      <c r="CB117" s="42">
        <f t="shared" si="116"/>
        <v>0</v>
      </c>
      <c r="CC117" s="43">
        <f t="shared" si="117"/>
        <v>0.99241515534503333</v>
      </c>
      <c r="CD117" s="42">
        <f t="shared" si="109"/>
        <v>1552549057</v>
      </c>
      <c r="CE117" s="42">
        <f>+'[3]NOVIEMBRE 2019'!$J$1616</f>
        <v>328965376</v>
      </c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>
        <f>+'[3]NOVIEMBRE 2019'!$AC$1616</f>
        <v>1223583681</v>
      </c>
      <c r="CY117" s="42"/>
      <c r="CZ117" s="42"/>
      <c r="DA117" s="42"/>
      <c r="DB117" s="43">
        <f t="shared" si="62"/>
        <v>7.5848446549666715E-3</v>
      </c>
      <c r="DC117" s="42">
        <f t="shared" si="82"/>
        <v>11865844</v>
      </c>
      <c r="DD117" s="42">
        <f t="shared" si="110"/>
        <v>3000</v>
      </c>
      <c r="DE117" s="42">
        <f t="shared" si="110"/>
        <v>0</v>
      </c>
      <c r="DF117" s="42">
        <f>J117-CG117</f>
        <v>0</v>
      </c>
      <c r="DG117" s="42">
        <f t="shared" si="111"/>
        <v>0</v>
      </c>
      <c r="DH117" s="42">
        <f t="shared" si="111"/>
        <v>0</v>
      </c>
      <c r="DI117" s="42">
        <f t="shared" si="111"/>
        <v>0</v>
      </c>
      <c r="DJ117" s="42">
        <f t="shared" si="111"/>
        <v>0</v>
      </c>
      <c r="DK117" s="42">
        <f t="shared" si="111"/>
        <v>0</v>
      </c>
      <c r="DL117" s="42">
        <f t="shared" si="111"/>
        <v>0</v>
      </c>
      <c r="DM117" s="42">
        <f t="shared" si="111"/>
        <v>0</v>
      </c>
      <c r="DN117" s="42">
        <f t="shared" si="111"/>
        <v>0</v>
      </c>
      <c r="DO117" s="42">
        <f t="shared" si="111"/>
        <v>0</v>
      </c>
      <c r="DP117" s="42">
        <f t="shared" si="111"/>
        <v>0</v>
      </c>
      <c r="DQ117" s="42">
        <f t="shared" si="111"/>
        <v>0</v>
      </c>
      <c r="DR117" s="42">
        <f t="shared" si="111"/>
        <v>0</v>
      </c>
      <c r="DS117" s="42">
        <f t="shared" si="111"/>
        <v>0</v>
      </c>
      <c r="DT117" s="42">
        <f t="shared" si="111"/>
        <v>0</v>
      </c>
      <c r="DU117" s="42">
        <f t="shared" si="111"/>
        <v>0</v>
      </c>
      <c r="DV117" s="42">
        <f t="shared" si="111"/>
        <v>0</v>
      </c>
      <c r="DW117" s="42">
        <f t="shared" si="112"/>
        <v>11862844</v>
      </c>
      <c r="DX117" s="42">
        <f t="shared" si="112"/>
        <v>0</v>
      </c>
      <c r="DY117" s="42"/>
      <c r="DZ117" s="42">
        <f t="shared" si="113"/>
        <v>0</v>
      </c>
      <c r="EB117" s="47">
        <f t="shared" si="63"/>
        <v>1564414901</v>
      </c>
      <c r="EC117" s="47">
        <f t="shared" si="64"/>
        <v>1564414901</v>
      </c>
      <c r="ED117" s="47">
        <f t="shared" si="65"/>
        <v>1564414901</v>
      </c>
      <c r="EI117" s="74">
        <f t="shared" si="87"/>
        <v>1564414901</v>
      </c>
      <c r="EJ117" s="74">
        <f t="shared" si="101"/>
        <v>1552549057</v>
      </c>
      <c r="EK117" s="241"/>
    </row>
    <row r="118" spans="1:141" ht="16.8" hidden="1" customHeight="1" x14ac:dyDescent="0.3">
      <c r="A118" s="129"/>
      <c r="B118" s="130" t="s">
        <v>331</v>
      </c>
      <c r="C118" s="78" t="s">
        <v>332</v>
      </c>
      <c r="D118" s="131" t="s">
        <v>333</v>
      </c>
      <c r="E118" s="40">
        <v>301</v>
      </c>
      <c r="F118" s="41" t="s">
        <v>302</v>
      </c>
      <c r="G118" s="42">
        <f t="shared" si="102"/>
        <v>681816144</v>
      </c>
      <c r="H118" s="132"/>
      <c r="I118" s="132"/>
      <c r="J118" s="132"/>
      <c r="K118" s="42">
        <v>681816144</v>
      </c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42"/>
      <c r="AB118" s="132"/>
      <c r="AC118" s="132"/>
      <c r="AD118" s="132"/>
      <c r="AE118" s="43">
        <f t="shared" si="88"/>
        <v>1</v>
      </c>
      <c r="AF118" s="42">
        <f t="shared" si="103"/>
        <v>681816144</v>
      </c>
      <c r="AG118" s="132"/>
      <c r="AH118" s="132"/>
      <c r="AI118" s="132"/>
      <c r="AJ118" s="132">
        <f>+'[2]SEPTIEMBRE 2019'!$L$1407</f>
        <v>681816144</v>
      </c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43">
        <f t="shared" si="60"/>
        <v>0</v>
      </c>
      <c r="BE118" s="42">
        <f t="shared" si="104"/>
        <v>0</v>
      </c>
      <c r="BF118" s="42"/>
      <c r="BG118" s="42"/>
      <c r="BH118" s="42"/>
      <c r="BI118" s="42">
        <f t="shared" si="106"/>
        <v>0</v>
      </c>
      <c r="BJ118" s="42">
        <f t="shared" si="115"/>
        <v>0</v>
      </c>
      <c r="BK118" s="42">
        <f t="shared" si="115"/>
        <v>0</v>
      </c>
      <c r="BL118" s="42">
        <f t="shared" si="115"/>
        <v>0</v>
      </c>
      <c r="BM118" s="42">
        <f t="shared" si="115"/>
        <v>0</v>
      </c>
      <c r="BN118" s="42">
        <f t="shared" si="115"/>
        <v>0</v>
      </c>
      <c r="BO118" s="42">
        <f t="shared" si="115"/>
        <v>0</v>
      </c>
      <c r="BP118" s="42">
        <f t="shared" si="115"/>
        <v>0</v>
      </c>
      <c r="BQ118" s="42">
        <f t="shared" si="115"/>
        <v>0</v>
      </c>
      <c r="BR118" s="42">
        <f t="shared" si="115"/>
        <v>0</v>
      </c>
      <c r="BS118" s="42">
        <f t="shared" si="115"/>
        <v>0</v>
      </c>
      <c r="BT118" s="42">
        <f t="shared" si="115"/>
        <v>0</v>
      </c>
      <c r="BU118" s="42">
        <f t="shared" si="115"/>
        <v>0</v>
      </c>
      <c r="BV118" s="42">
        <f t="shared" si="115"/>
        <v>0</v>
      </c>
      <c r="BW118" s="42">
        <f t="shared" si="115"/>
        <v>0</v>
      </c>
      <c r="BX118" s="42">
        <f t="shared" si="115"/>
        <v>0</v>
      </c>
      <c r="BY118" s="42">
        <f t="shared" si="108"/>
        <v>0</v>
      </c>
      <c r="BZ118" s="42">
        <f t="shared" si="108"/>
        <v>0</v>
      </c>
      <c r="CA118" s="42"/>
      <c r="CB118" s="42">
        <f t="shared" si="116"/>
        <v>0</v>
      </c>
      <c r="CC118" s="43">
        <f t="shared" si="117"/>
        <v>0.22768499743825368</v>
      </c>
      <c r="CD118" s="42">
        <f t="shared" si="109"/>
        <v>155239307</v>
      </c>
      <c r="CE118" s="132"/>
      <c r="CF118" s="132"/>
      <c r="CG118" s="132"/>
      <c r="CH118" s="132">
        <f>+'[3]NOVIEMBRE 2019'!$H$1685</f>
        <v>155239307</v>
      </c>
      <c r="CI118" s="132"/>
      <c r="CJ118" s="132"/>
      <c r="CK118" s="132"/>
      <c r="CL118" s="132"/>
      <c r="CM118" s="132"/>
      <c r="CN118" s="132"/>
      <c r="CO118" s="132"/>
      <c r="CP118" s="132"/>
      <c r="CQ118" s="132"/>
      <c r="CR118" s="132"/>
      <c r="CS118" s="132"/>
      <c r="CT118" s="132"/>
      <c r="CU118" s="132"/>
      <c r="CV118" s="132"/>
      <c r="CW118" s="132"/>
      <c r="CX118" s="132"/>
      <c r="CY118" s="132"/>
      <c r="CZ118" s="132"/>
      <c r="DA118" s="132"/>
      <c r="DB118" s="43">
        <f t="shared" si="62"/>
        <v>0.77231500256174634</v>
      </c>
      <c r="DC118" s="42">
        <f t="shared" si="82"/>
        <v>526576837</v>
      </c>
      <c r="DD118" s="42"/>
      <c r="DE118" s="42"/>
      <c r="DF118" s="42"/>
      <c r="DG118" s="42">
        <f>K118-CH118</f>
        <v>526576837</v>
      </c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  <c r="DY118" s="42"/>
      <c r="DZ118" s="42"/>
      <c r="EB118" s="47">
        <f t="shared" si="63"/>
        <v>681816144</v>
      </c>
      <c r="EC118" s="47">
        <f t="shared" si="64"/>
        <v>681816144</v>
      </c>
      <c r="ED118" s="47">
        <f t="shared" si="65"/>
        <v>681816144</v>
      </c>
      <c r="EI118" s="74">
        <f t="shared" si="87"/>
        <v>681816144</v>
      </c>
      <c r="EJ118" s="74">
        <f t="shared" si="101"/>
        <v>155239307</v>
      </c>
      <c r="EK118" s="241"/>
    </row>
    <row r="119" spans="1:141" ht="18.600000000000001" hidden="1" customHeight="1" x14ac:dyDescent="0.3">
      <c r="A119" s="129"/>
      <c r="B119" s="133" t="s">
        <v>334</v>
      </c>
      <c r="C119" s="78" t="s">
        <v>335</v>
      </c>
      <c r="D119" s="131" t="s">
        <v>336</v>
      </c>
      <c r="E119" s="40">
        <v>301</v>
      </c>
      <c r="F119" s="41" t="s">
        <v>302</v>
      </c>
      <c r="G119" s="42">
        <f t="shared" si="102"/>
        <v>100000000</v>
      </c>
      <c r="H119" s="132">
        <v>15000000</v>
      </c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42">
        <v>85000000</v>
      </c>
      <c r="AB119" s="132"/>
      <c r="AC119" s="132"/>
      <c r="AD119" s="132"/>
      <c r="AE119" s="43">
        <f t="shared" si="88"/>
        <v>0.99999998000000001</v>
      </c>
      <c r="AF119" s="42">
        <f t="shared" si="103"/>
        <v>99999998</v>
      </c>
      <c r="AG119" s="132">
        <f>+'[12]JULIO 2019'!$J$1030</f>
        <v>15000000</v>
      </c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>
        <f>+'[3]NOVIEMBRE 2019'!$AC$1655</f>
        <v>84999998</v>
      </c>
      <c r="BA119" s="132"/>
      <c r="BB119" s="132"/>
      <c r="BC119" s="132"/>
      <c r="BD119" s="43">
        <f t="shared" si="60"/>
        <v>1.9999999989472883E-8</v>
      </c>
      <c r="BE119" s="42">
        <f t="shared" si="104"/>
        <v>2</v>
      </c>
      <c r="BF119" s="42">
        <f t="shared" ref="BF119:BH121" si="118">H119-AG119</f>
        <v>0</v>
      </c>
      <c r="BG119" s="42">
        <f t="shared" si="118"/>
        <v>0</v>
      </c>
      <c r="BH119" s="42">
        <f t="shared" si="118"/>
        <v>0</v>
      </c>
      <c r="BI119" s="42">
        <f t="shared" si="106"/>
        <v>0</v>
      </c>
      <c r="BJ119" s="42">
        <f t="shared" si="115"/>
        <v>0</v>
      </c>
      <c r="BK119" s="42">
        <f t="shared" si="115"/>
        <v>0</v>
      </c>
      <c r="BL119" s="42">
        <f t="shared" si="115"/>
        <v>0</v>
      </c>
      <c r="BM119" s="42">
        <f t="shared" si="115"/>
        <v>0</v>
      </c>
      <c r="BN119" s="42">
        <f t="shared" si="115"/>
        <v>0</v>
      </c>
      <c r="BO119" s="42">
        <f t="shared" si="115"/>
        <v>0</v>
      </c>
      <c r="BP119" s="42">
        <f t="shared" si="115"/>
        <v>0</v>
      </c>
      <c r="BQ119" s="42">
        <f t="shared" si="115"/>
        <v>0</v>
      </c>
      <c r="BR119" s="42">
        <f t="shared" si="115"/>
        <v>0</v>
      </c>
      <c r="BS119" s="42">
        <f t="shared" si="115"/>
        <v>0</v>
      </c>
      <c r="BT119" s="42">
        <f t="shared" si="115"/>
        <v>0</v>
      </c>
      <c r="BU119" s="42">
        <f t="shared" si="115"/>
        <v>0</v>
      </c>
      <c r="BV119" s="42">
        <f t="shared" si="115"/>
        <v>0</v>
      </c>
      <c r="BW119" s="42">
        <f t="shared" si="115"/>
        <v>0</v>
      </c>
      <c r="BX119" s="42">
        <f t="shared" si="115"/>
        <v>0</v>
      </c>
      <c r="BY119" s="42">
        <f t="shared" si="108"/>
        <v>2</v>
      </c>
      <c r="BZ119" s="42">
        <f t="shared" si="108"/>
        <v>0</v>
      </c>
      <c r="CA119" s="42"/>
      <c r="CB119" s="42">
        <f t="shared" si="116"/>
        <v>0</v>
      </c>
      <c r="CC119" s="43">
        <f t="shared" si="117"/>
        <v>0.74999998000000001</v>
      </c>
      <c r="CD119" s="42">
        <f t="shared" si="109"/>
        <v>74999998</v>
      </c>
      <c r="CE119" s="132">
        <f>+'[8]AGOSTO 2019'!$H$1163</f>
        <v>15000000</v>
      </c>
      <c r="CF119" s="132"/>
      <c r="CG119" s="132"/>
      <c r="CH119" s="132"/>
      <c r="CI119" s="132"/>
      <c r="CJ119" s="132"/>
      <c r="CK119" s="132"/>
      <c r="CL119" s="132"/>
      <c r="CM119" s="132"/>
      <c r="CN119" s="132"/>
      <c r="CO119" s="132"/>
      <c r="CP119" s="132"/>
      <c r="CQ119" s="132"/>
      <c r="CR119" s="132"/>
      <c r="CS119" s="132"/>
      <c r="CT119" s="132"/>
      <c r="CU119" s="132"/>
      <c r="CV119" s="132"/>
      <c r="CW119" s="132"/>
      <c r="CX119" s="132">
        <f>+'[3]NOVIEMBRE 2019'!$H$1656+'[3]NOVIEMBRE 2019'!$H$1667</f>
        <v>59999998</v>
      </c>
      <c r="CY119" s="132"/>
      <c r="CZ119" s="132"/>
      <c r="DA119" s="132"/>
      <c r="DB119" s="43">
        <f t="shared" si="62"/>
        <v>0.25000001999999999</v>
      </c>
      <c r="DC119" s="42">
        <f t="shared" si="82"/>
        <v>25000002</v>
      </c>
      <c r="DD119" s="42">
        <f t="shared" ref="DD119:DE121" si="119">H119-CE119</f>
        <v>0</v>
      </c>
      <c r="DE119" s="42">
        <f t="shared" si="119"/>
        <v>0</v>
      </c>
      <c r="DF119" s="42"/>
      <c r="DG119" s="42">
        <f>K119-CH119</f>
        <v>0</v>
      </c>
      <c r="DH119" s="42">
        <f t="shared" ref="DH119:DW121" si="120">L119-CI119</f>
        <v>0</v>
      </c>
      <c r="DI119" s="42">
        <f t="shared" si="120"/>
        <v>0</v>
      </c>
      <c r="DJ119" s="42">
        <f t="shared" si="120"/>
        <v>0</v>
      </c>
      <c r="DK119" s="42">
        <f t="shared" si="120"/>
        <v>0</v>
      </c>
      <c r="DL119" s="42">
        <f t="shared" si="120"/>
        <v>0</v>
      </c>
      <c r="DM119" s="42">
        <f t="shared" si="120"/>
        <v>0</v>
      </c>
      <c r="DN119" s="42">
        <f t="shared" si="120"/>
        <v>0</v>
      </c>
      <c r="DO119" s="42">
        <f t="shared" si="120"/>
        <v>0</v>
      </c>
      <c r="DP119" s="42">
        <f t="shared" si="120"/>
        <v>0</v>
      </c>
      <c r="DQ119" s="42">
        <f t="shared" si="120"/>
        <v>0</v>
      </c>
      <c r="DR119" s="42">
        <f t="shared" si="120"/>
        <v>0</v>
      </c>
      <c r="DS119" s="42">
        <f t="shared" si="120"/>
        <v>0</v>
      </c>
      <c r="DT119" s="42">
        <f t="shared" si="120"/>
        <v>0</v>
      </c>
      <c r="DU119" s="42">
        <f t="shared" si="120"/>
        <v>0</v>
      </c>
      <c r="DV119" s="42">
        <f t="shared" si="120"/>
        <v>0</v>
      </c>
      <c r="DW119" s="42">
        <f t="shared" si="120"/>
        <v>25000002</v>
      </c>
      <c r="DX119" s="42">
        <f t="shared" ref="DR119:DX121" si="121">AB119-CY119</f>
        <v>0</v>
      </c>
      <c r="DY119" s="42"/>
      <c r="DZ119" s="42">
        <f>AD119-DA119</f>
        <v>0</v>
      </c>
      <c r="EB119" s="47">
        <f t="shared" si="63"/>
        <v>100000000</v>
      </c>
      <c r="EC119" s="47">
        <f t="shared" si="64"/>
        <v>100000000</v>
      </c>
      <c r="ED119" s="47">
        <f t="shared" si="65"/>
        <v>100000000</v>
      </c>
      <c r="EI119" s="74">
        <f t="shared" si="87"/>
        <v>100000000</v>
      </c>
      <c r="EJ119" s="74">
        <f t="shared" si="101"/>
        <v>74999998</v>
      </c>
      <c r="EK119" s="241"/>
    </row>
    <row r="120" spans="1:141" ht="27.6" hidden="1" customHeight="1" x14ac:dyDescent="0.3">
      <c r="A120" s="129"/>
      <c r="B120" s="134"/>
      <c r="C120" s="78" t="s">
        <v>337</v>
      </c>
      <c r="D120" s="131" t="s">
        <v>338</v>
      </c>
      <c r="E120" s="40">
        <v>301</v>
      </c>
      <c r="F120" s="41" t="s">
        <v>302</v>
      </c>
      <c r="G120" s="42">
        <f t="shared" si="102"/>
        <v>56000000</v>
      </c>
      <c r="H120" s="132">
        <v>8000000</v>
      </c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42">
        <v>48000000</v>
      </c>
      <c r="AB120" s="132"/>
      <c r="AC120" s="132"/>
      <c r="AD120" s="132"/>
      <c r="AE120" s="43">
        <f t="shared" si="88"/>
        <v>0.99999996428571425</v>
      </c>
      <c r="AF120" s="42">
        <f t="shared" si="103"/>
        <v>55999998</v>
      </c>
      <c r="AG120" s="132">
        <f>+'[12]JULIO 2019'!$J$1051</f>
        <v>8000000</v>
      </c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>
        <f>+'[3]NOVIEMBRE 2019'!$AC$1752</f>
        <v>47999998</v>
      </c>
      <c r="BA120" s="132"/>
      <c r="BB120" s="132"/>
      <c r="BC120" s="132"/>
      <c r="BD120" s="43">
        <f t="shared" si="60"/>
        <v>3.5714285750998442E-8</v>
      </c>
      <c r="BE120" s="42">
        <f t="shared" si="104"/>
        <v>2</v>
      </c>
      <c r="BF120" s="42">
        <f t="shared" si="118"/>
        <v>0</v>
      </c>
      <c r="BG120" s="42">
        <f t="shared" si="118"/>
        <v>0</v>
      </c>
      <c r="BH120" s="42">
        <f t="shared" si="118"/>
        <v>0</v>
      </c>
      <c r="BI120" s="42">
        <f t="shared" si="106"/>
        <v>0</v>
      </c>
      <c r="BJ120" s="42">
        <f t="shared" si="115"/>
        <v>0</v>
      </c>
      <c r="BK120" s="42">
        <f t="shared" si="115"/>
        <v>0</v>
      </c>
      <c r="BL120" s="42">
        <f t="shared" si="115"/>
        <v>0</v>
      </c>
      <c r="BM120" s="42">
        <f t="shared" si="115"/>
        <v>0</v>
      </c>
      <c r="BN120" s="42">
        <f t="shared" si="115"/>
        <v>0</v>
      </c>
      <c r="BO120" s="42">
        <f t="shared" si="115"/>
        <v>0</v>
      </c>
      <c r="BP120" s="42">
        <f t="shared" si="115"/>
        <v>0</v>
      </c>
      <c r="BQ120" s="42">
        <f t="shared" si="115"/>
        <v>0</v>
      </c>
      <c r="BR120" s="42">
        <f t="shared" si="115"/>
        <v>0</v>
      </c>
      <c r="BS120" s="42">
        <f t="shared" si="115"/>
        <v>0</v>
      </c>
      <c r="BT120" s="42">
        <f t="shared" si="115"/>
        <v>0</v>
      </c>
      <c r="BU120" s="42">
        <f t="shared" si="115"/>
        <v>0</v>
      </c>
      <c r="BV120" s="42">
        <f t="shared" si="115"/>
        <v>0</v>
      </c>
      <c r="BW120" s="42">
        <f t="shared" si="115"/>
        <v>0</v>
      </c>
      <c r="BX120" s="42">
        <f t="shared" si="115"/>
        <v>0</v>
      </c>
      <c r="BY120" s="42">
        <f t="shared" si="108"/>
        <v>2</v>
      </c>
      <c r="BZ120" s="42">
        <f t="shared" si="108"/>
        <v>0</v>
      </c>
      <c r="CA120" s="42"/>
      <c r="CB120" s="42">
        <f t="shared" si="116"/>
        <v>0</v>
      </c>
      <c r="CC120" s="43">
        <f t="shared" si="117"/>
        <v>0.99999996428571425</v>
      </c>
      <c r="CD120" s="42">
        <f t="shared" si="109"/>
        <v>55999998</v>
      </c>
      <c r="CE120" s="132">
        <f>+'[1]OCTUBRE 2019'!$H$1602</f>
        <v>8000000</v>
      </c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>
        <f>+'[2]SEPTIEMBRE 2019'!$H$1418+'[2]SEPTIEMBRE 2019'!$H$1429+'[2]SEPTIEMBRE 2019'!$H$1432+'[2]SEPTIEMBRE 2019'!$H$1442-2</f>
        <v>47999998</v>
      </c>
      <c r="CY120" s="132"/>
      <c r="CZ120" s="132"/>
      <c r="DA120" s="132"/>
      <c r="DB120" s="43">
        <f t="shared" si="62"/>
        <v>3.5714285750998442E-8</v>
      </c>
      <c r="DC120" s="42">
        <f t="shared" si="82"/>
        <v>2</v>
      </c>
      <c r="DD120" s="42">
        <f t="shared" si="119"/>
        <v>0</v>
      </c>
      <c r="DE120" s="42">
        <f t="shared" si="119"/>
        <v>0</v>
      </c>
      <c r="DF120" s="42"/>
      <c r="DG120" s="42">
        <f>K120-CH120</f>
        <v>0</v>
      </c>
      <c r="DH120" s="42">
        <f t="shared" si="120"/>
        <v>0</v>
      </c>
      <c r="DI120" s="42">
        <f t="shared" si="120"/>
        <v>0</v>
      </c>
      <c r="DJ120" s="42">
        <f t="shared" si="120"/>
        <v>0</v>
      </c>
      <c r="DK120" s="42">
        <f t="shared" si="120"/>
        <v>0</v>
      </c>
      <c r="DL120" s="42">
        <f t="shared" si="120"/>
        <v>0</v>
      </c>
      <c r="DM120" s="42">
        <f t="shared" si="120"/>
        <v>0</v>
      </c>
      <c r="DN120" s="42">
        <f t="shared" si="120"/>
        <v>0</v>
      </c>
      <c r="DO120" s="42">
        <f t="shared" si="120"/>
        <v>0</v>
      </c>
      <c r="DP120" s="42">
        <f t="shared" si="120"/>
        <v>0</v>
      </c>
      <c r="DQ120" s="42">
        <f t="shared" si="120"/>
        <v>0</v>
      </c>
      <c r="DR120" s="42">
        <f t="shared" si="121"/>
        <v>0</v>
      </c>
      <c r="DS120" s="42">
        <f t="shared" si="121"/>
        <v>0</v>
      </c>
      <c r="DT120" s="42">
        <f t="shared" si="121"/>
        <v>0</v>
      </c>
      <c r="DU120" s="42">
        <f t="shared" si="121"/>
        <v>0</v>
      </c>
      <c r="DV120" s="42">
        <f t="shared" si="121"/>
        <v>0</v>
      </c>
      <c r="DW120" s="42">
        <f t="shared" si="121"/>
        <v>2</v>
      </c>
      <c r="DX120" s="42">
        <f t="shared" si="121"/>
        <v>0</v>
      </c>
      <c r="DY120" s="42"/>
      <c r="DZ120" s="42">
        <f>AD120-DA120</f>
        <v>0</v>
      </c>
      <c r="EB120" s="47">
        <f t="shared" si="63"/>
        <v>56000000</v>
      </c>
      <c r="EC120" s="47">
        <f t="shared" si="64"/>
        <v>56000000</v>
      </c>
      <c r="ED120" s="47">
        <f t="shared" si="65"/>
        <v>56000000</v>
      </c>
      <c r="EI120" s="74">
        <f t="shared" si="87"/>
        <v>56000000</v>
      </c>
      <c r="EJ120" s="74">
        <f t="shared" si="101"/>
        <v>55999998</v>
      </c>
      <c r="EK120" s="241"/>
    </row>
    <row r="121" spans="1:141" ht="31.8" hidden="1" customHeight="1" x14ac:dyDescent="0.3">
      <c r="A121" s="129"/>
      <c r="B121" s="135"/>
      <c r="C121" s="78" t="s">
        <v>339</v>
      </c>
      <c r="D121" s="131" t="s">
        <v>340</v>
      </c>
      <c r="E121" s="40">
        <v>301</v>
      </c>
      <c r="F121" s="41" t="s">
        <v>302</v>
      </c>
      <c r="G121" s="42">
        <f t="shared" si="102"/>
        <v>53000000</v>
      </c>
      <c r="H121" s="132">
        <v>13000000</v>
      </c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132"/>
      <c r="X121" s="132"/>
      <c r="Y121" s="132"/>
      <c r="Z121" s="132"/>
      <c r="AA121" s="42">
        <v>40000000</v>
      </c>
      <c r="AB121" s="132"/>
      <c r="AC121" s="132"/>
      <c r="AD121" s="132"/>
      <c r="AE121" s="43">
        <f t="shared" si="88"/>
        <v>1</v>
      </c>
      <c r="AF121" s="42">
        <f t="shared" si="103"/>
        <v>53000000</v>
      </c>
      <c r="AG121" s="132">
        <f>+'[12]JULIO 2019'!$J$1072</f>
        <v>13000000</v>
      </c>
      <c r="AH121" s="132"/>
      <c r="AI121" s="132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>
        <f>+'[10]ENERO 2019'!$AB$344</f>
        <v>40000000</v>
      </c>
      <c r="BA121" s="132"/>
      <c r="BB121" s="132"/>
      <c r="BC121" s="132"/>
      <c r="BD121" s="43">
        <f t="shared" si="60"/>
        <v>0</v>
      </c>
      <c r="BE121" s="42">
        <f t="shared" si="104"/>
        <v>0</v>
      </c>
      <c r="BF121" s="42">
        <f t="shared" si="118"/>
        <v>0</v>
      </c>
      <c r="BG121" s="42">
        <f t="shared" si="118"/>
        <v>0</v>
      </c>
      <c r="BH121" s="42">
        <f t="shared" si="118"/>
        <v>0</v>
      </c>
      <c r="BI121" s="42">
        <f t="shared" si="106"/>
        <v>0</v>
      </c>
      <c r="BJ121" s="42">
        <f t="shared" si="115"/>
        <v>0</v>
      </c>
      <c r="BK121" s="42">
        <f t="shared" si="115"/>
        <v>0</v>
      </c>
      <c r="BL121" s="42">
        <f t="shared" si="115"/>
        <v>0</v>
      </c>
      <c r="BM121" s="42">
        <f t="shared" si="115"/>
        <v>0</v>
      </c>
      <c r="BN121" s="42">
        <f t="shared" si="115"/>
        <v>0</v>
      </c>
      <c r="BO121" s="42">
        <f t="shared" si="115"/>
        <v>0</v>
      </c>
      <c r="BP121" s="42">
        <f t="shared" si="115"/>
        <v>0</v>
      </c>
      <c r="BQ121" s="42">
        <f t="shared" si="115"/>
        <v>0</v>
      </c>
      <c r="BR121" s="42">
        <f t="shared" si="115"/>
        <v>0</v>
      </c>
      <c r="BS121" s="42">
        <f t="shared" si="115"/>
        <v>0</v>
      </c>
      <c r="BT121" s="42">
        <f t="shared" si="115"/>
        <v>0</v>
      </c>
      <c r="BU121" s="42">
        <f t="shared" si="115"/>
        <v>0</v>
      </c>
      <c r="BV121" s="42">
        <f t="shared" si="115"/>
        <v>0</v>
      </c>
      <c r="BW121" s="42">
        <f t="shared" si="115"/>
        <v>0</v>
      </c>
      <c r="BX121" s="42">
        <f t="shared" si="115"/>
        <v>0</v>
      </c>
      <c r="BY121" s="42">
        <f t="shared" si="108"/>
        <v>0</v>
      </c>
      <c r="BZ121" s="42">
        <f t="shared" si="108"/>
        <v>0</v>
      </c>
      <c r="CA121" s="42"/>
      <c r="CB121" s="42">
        <f t="shared" si="116"/>
        <v>0</v>
      </c>
      <c r="CC121" s="43">
        <f t="shared" si="117"/>
        <v>1</v>
      </c>
      <c r="CD121" s="42">
        <f t="shared" si="109"/>
        <v>53000000</v>
      </c>
      <c r="CE121" s="132">
        <f>+'[3]NOVIEMBRE 2019'!$H$1796</f>
        <v>13000000</v>
      </c>
      <c r="CF121" s="132"/>
      <c r="CG121" s="132"/>
      <c r="CH121" s="132"/>
      <c r="CI121" s="132"/>
      <c r="CJ121" s="132"/>
      <c r="CK121" s="132"/>
      <c r="CL121" s="132"/>
      <c r="CM121" s="132"/>
      <c r="CN121" s="132"/>
      <c r="CO121" s="132"/>
      <c r="CP121" s="132"/>
      <c r="CQ121" s="132"/>
      <c r="CR121" s="132"/>
      <c r="CS121" s="132"/>
      <c r="CT121" s="132"/>
      <c r="CU121" s="132"/>
      <c r="CV121" s="132"/>
      <c r="CW121" s="132"/>
      <c r="CX121" s="132">
        <f>+'[3]NOVIEMBRE 2019'!$H$1785</f>
        <v>40000000</v>
      </c>
      <c r="CY121" s="132"/>
      <c r="CZ121" s="132"/>
      <c r="DA121" s="132"/>
      <c r="DB121" s="43">
        <f t="shared" si="62"/>
        <v>0</v>
      </c>
      <c r="DC121" s="42">
        <f t="shared" si="82"/>
        <v>0</v>
      </c>
      <c r="DD121" s="42">
        <f t="shared" si="119"/>
        <v>0</v>
      </c>
      <c r="DE121" s="42">
        <f t="shared" si="119"/>
        <v>0</v>
      </c>
      <c r="DF121" s="42"/>
      <c r="DG121" s="42">
        <f>K121-CH121</f>
        <v>0</v>
      </c>
      <c r="DH121" s="42">
        <f t="shared" si="120"/>
        <v>0</v>
      </c>
      <c r="DI121" s="42">
        <f t="shared" si="120"/>
        <v>0</v>
      </c>
      <c r="DJ121" s="42">
        <f t="shared" si="120"/>
        <v>0</v>
      </c>
      <c r="DK121" s="42">
        <f t="shared" si="120"/>
        <v>0</v>
      </c>
      <c r="DL121" s="42">
        <f t="shared" si="120"/>
        <v>0</v>
      </c>
      <c r="DM121" s="42">
        <f t="shared" si="120"/>
        <v>0</v>
      </c>
      <c r="DN121" s="42">
        <f t="shared" si="120"/>
        <v>0</v>
      </c>
      <c r="DO121" s="42">
        <f t="shared" si="120"/>
        <v>0</v>
      </c>
      <c r="DP121" s="42">
        <f t="shared" si="120"/>
        <v>0</v>
      </c>
      <c r="DQ121" s="42">
        <f t="shared" si="120"/>
        <v>0</v>
      </c>
      <c r="DR121" s="42">
        <f t="shared" si="121"/>
        <v>0</v>
      </c>
      <c r="DS121" s="42">
        <f t="shared" si="121"/>
        <v>0</v>
      </c>
      <c r="DT121" s="42">
        <f t="shared" si="121"/>
        <v>0</v>
      </c>
      <c r="DU121" s="42">
        <f t="shared" si="121"/>
        <v>0</v>
      </c>
      <c r="DV121" s="42">
        <f t="shared" si="121"/>
        <v>0</v>
      </c>
      <c r="DW121" s="42">
        <f t="shared" si="121"/>
        <v>0</v>
      </c>
      <c r="DX121" s="42">
        <f t="shared" si="121"/>
        <v>0</v>
      </c>
      <c r="DY121" s="42"/>
      <c r="DZ121" s="42">
        <f>AD121-DA121</f>
        <v>0</v>
      </c>
      <c r="EB121" s="47">
        <f t="shared" si="63"/>
        <v>53000000</v>
      </c>
      <c r="EC121" s="47">
        <f t="shared" si="64"/>
        <v>53000000</v>
      </c>
      <c r="ED121" s="47">
        <f t="shared" si="65"/>
        <v>53000000</v>
      </c>
      <c r="EH121" s="238" t="s">
        <v>417</v>
      </c>
      <c r="EI121" s="74">
        <f t="shared" si="87"/>
        <v>53000000</v>
      </c>
      <c r="EJ121" s="74">
        <f t="shared" si="101"/>
        <v>53000000</v>
      </c>
      <c r="EK121" s="241"/>
    </row>
    <row r="122" spans="1:141" s="73" customFormat="1" ht="21" customHeight="1" thickTop="1" thickBot="1" x14ac:dyDescent="0.35">
      <c r="A122" s="119"/>
      <c r="B122" s="230" t="s">
        <v>341</v>
      </c>
      <c r="C122" s="231"/>
      <c r="D122" s="231"/>
      <c r="E122" s="232"/>
      <c r="F122" s="233"/>
      <c r="G122" s="92">
        <f t="shared" ref="G122:AD122" si="122">SUM(G106:G121)</f>
        <v>3687641610</v>
      </c>
      <c r="H122" s="92">
        <f t="shared" si="122"/>
        <v>444106222</v>
      </c>
      <c r="I122" s="92">
        <f t="shared" si="122"/>
        <v>180000000</v>
      </c>
      <c r="J122" s="92">
        <f t="shared" si="122"/>
        <v>0</v>
      </c>
      <c r="K122" s="92">
        <f t="shared" si="122"/>
        <v>681816144</v>
      </c>
      <c r="L122" s="92">
        <f t="shared" si="122"/>
        <v>0</v>
      </c>
      <c r="M122" s="92">
        <f t="shared" si="122"/>
        <v>208000000</v>
      </c>
      <c r="N122" s="92">
        <f t="shared" si="122"/>
        <v>0</v>
      </c>
      <c r="O122" s="92">
        <f t="shared" si="122"/>
        <v>0</v>
      </c>
      <c r="P122" s="92">
        <f t="shared" si="122"/>
        <v>0</v>
      </c>
      <c r="Q122" s="92">
        <f t="shared" si="122"/>
        <v>0</v>
      </c>
      <c r="R122" s="92">
        <f t="shared" si="122"/>
        <v>0</v>
      </c>
      <c r="S122" s="92">
        <f t="shared" si="122"/>
        <v>0</v>
      </c>
      <c r="T122" s="92">
        <f t="shared" si="122"/>
        <v>0</v>
      </c>
      <c r="U122" s="92">
        <f t="shared" si="122"/>
        <v>0</v>
      </c>
      <c r="V122" s="92">
        <f t="shared" si="122"/>
        <v>0</v>
      </c>
      <c r="W122" s="92">
        <f t="shared" si="122"/>
        <v>0</v>
      </c>
      <c r="X122" s="92">
        <f t="shared" si="122"/>
        <v>100000000</v>
      </c>
      <c r="Y122" s="92">
        <f t="shared" si="122"/>
        <v>32712008</v>
      </c>
      <c r="Z122" s="92">
        <f t="shared" si="122"/>
        <v>114788955</v>
      </c>
      <c r="AA122" s="92">
        <f t="shared" si="122"/>
        <v>1770728185</v>
      </c>
      <c r="AB122" s="92">
        <f t="shared" si="122"/>
        <v>0</v>
      </c>
      <c r="AC122" s="92">
        <f t="shared" si="122"/>
        <v>0</v>
      </c>
      <c r="AD122" s="92">
        <f t="shared" si="122"/>
        <v>155490096</v>
      </c>
      <c r="AE122" s="71">
        <f t="shared" si="88"/>
        <v>0.99019739854817401</v>
      </c>
      <c r="AF122" s="92">
        <f>SUM(AF106:AF121)</f>
        <v>3651493129</v>
      </c>
      <c r="AG122" s="92">
        <f>SUM(AG106:AG121)</f>
        <v>443770850</v>
      </c>
      <c r="AH122" s="92">
        <f>SUM(AH106:AH121)</f>
        <v>179513390</v>
      </c>
      <c r="AI122" s="92">
        <f>SUM(AI106:AI121)</f>
        <v>0</v>
      </c>
      <c r="AJ122" s="92"/>
      <c r="AK122" s="92">
        <f t="shared" ref="AK122:BC122" si="123">SUM(AK106:AK121)</f>
        <v>0</v>
      </c>
      <c r="AL122" s="92">
        <f t="shared" si="123"/>
        <v>200411327</v>
      </c>
      <c r="AM122" s="92">
        <f t="shared" si="123"/>
        <v>0</v>
      </c>
      <c r="AN122" s="92">
        <f t="shared" si="123"/>
        <v>0</v>
      </c>
      <c r="AO122" s="92">
        <f t="shared" si="123"/>
        <v>0</v>
      </c>
      <c r="AP122" s="92">
        <f t="shared" si="123"/>
        <v>0</v>
      </c>
      <c r="AQ122" s="92">
        <f t="shared" si="123"/>
        <v>0</v>
      </c>
      <c r="AR122" s="92">
        <f t="shared" si="123"/>
        <v>0</v>
      </c>
      <c r="AS122" s="92">
        <f t="shared" si="123"/>
        <v>0</v>
      </c>
      <c r="AT122" s="92">
        <f t="shared" si="123"/>
        <v>0</v>
      </c>
      <c r="AU122" s="92">
        <f t="shared" si="123"/>
        <v>0</v>
      </c>
      <c r="AV122" s="92">
        <f t="shared" si="123"/>
        <v>0</v>
      </c>
      <c r="AW122" s="92">
        <f t="shared" si="123"/>
        <v>98046000</v>
      </c>
      <c r="AX122" s="92">
        <f t="shared" si="123"/>
        <v>32712008</v>
      </c>
      <c r="AY122" s="92">
        <f t="shared" si="123"/>
        <v>110941940</v>
      </c>
      <c r="AZ122" s="92">
        <f t="shared" si="123"/>
        <v>1757659170</v>
      </c>
      <c r="BA122" s="92">
        <f t="shared" si="123"/>
        <v>0</v>
      </c>
      <c r="BB122" s="92">
        <f t="shared" si="123"/>
        <v>0</v>
      </c>
      <c r="BC122" s="92">
        <f t="shared" si="123"/>
        <v>146622300</v>
      </c>
      <c r="BD122" s="139">
        <f t="shared" si="60"/>
        <v>9.8026014518259874E-3</v>
      </c>
      <c r="BE122" s="92">
        <f t="shared" ref="BE122:CB122" si="124">SUM(BE106:BE121)</f>
        <v>36148481</v>
      </c>
      <c r="BF122" s="92">
        <f t="shared" si="124"/>
        <v>335372</v>
      </c>
      <c r="BG122" s="92">
        <f t="shared" si="124"/>
        <v>486610</v>
      </c>
      <c r="BH122" s="92">
        <f t="shared" si="124"/>
        <v>0</v>
      </c>
      <c r="BI122" s="92">
        <f t="shared" si="124"/>
        <v>0</v>
      </c>
      <c r="BJ122" s="92">
        <f t="shared" si="124"/>
        <v>0</v>
      </c>
      <c r="BK122" s="92">
        <f t="shared" si="124"/>
        <v>7588673</v>
      </c>
      <c r="BL122" s="92">
        <f t="shared" si="124"/>
        <v>0</v>
      </c>
      <c r="BM122" s="92">
        <f t="shared" si="124"/>
        <v>0</v>
      </c>
      <c r="BN122" s="92">
        <f t="shared" si="124"/>
        <v>0</v>
      </c>
      <c r="BO122" s="92">
        <f t="shared" si="124"/>
        <v>0</v>
      </c>
      <c r="BP122" s="92">
        <f t="shared" si="124"/>
        <v>0</v>
      </c>
      <c r="BQ122" s="92">
        <f t="shared" si="124"/>
        <v>0</v>
      </c>
      <c r="BR122" s="92">
        <f t="shared" si="124"/>
        <v>0</v>
      </c>
      <c r="BS122" s="92">
        <f t="shared" si="124"/>
        <v>0</v>
      </c>
      <c r="BT122" s="92">
        <f t="shared" si="124"/>
        <v>0</v>
      </c>
      <c r="BU122" s="92">
        <f t="shared" si="124"/>
        <v>0</v>
      </c>
      <c r="BV122" s="92">
        <f t="shared" si="124"/>
        <v>1954000</v>
      </c>
      <c r="BW122" s="92">
        <f t="shared" si="124"/>
        <v>0</v>
      </c>
      <c r="BX122" s="92">
        <f t="shared" si="124"/>
        <v>3847015</v>
      </c>
      <c r="BY122" s="92">
        <f t="shared" si="124"/>
        <v>13069015</v>
      </c>
      <c r="BZ122" s="92">
        <f t="shared" si="124"/>
        <v>0</v>
      </c>
      <c r="CA122" s="92">
        <f t="shared" si="124"/>
        <v>0</v>
      </c>
      <c r="CB122" s="92">
        <f t="shared" si="124"/>
        <v>8867796</v>
      </c>
      <c r="CC122" s="71">
        <f t="shared" si="117"/>
        <v>0.80598386077978978</v>
      </c>
      <c r="CD122" s="92">
        <f t="shared" ref="CD122:DA122" si="125">SUM(CD106:CD121)</f>
        <v>2972179622</v>
      </c>
      <c r="CE122" s="92">
        <f t="shared" si="125"/>
        <v>443770850</v>
      </c>
      <c r="CF122" s="92">
        <f t="shared" si="125"/>
        <v>177113390</v>
      </c>
      <c r="CG122" s="92">
        <f t="shared" si="125"/>
        <v>0</v>
      </c>
      <c r="CH122" s="92">
        <f t="shared" si="125"/>
        <v>155239307</v>
      </c>
      <c r="CI122" s="92">
        <f t="shared" si="125"/>
        <v>0</v>
      </c>
      <c r="CJ122" s="92">
        <f t="shared" si="125"/>
        <v>205876669</v>
      </c>
      <c r="CK122" s="92">
        <f t="shared" si="125"/>
        <v>0</v>
      </c>
      <c r="CL122" s="92">
        <f t="shared" si="125"/>
        <v>0</v>
      </c>
      <c r="CM122" s="92">
        <f t="shared" si="125"/>
        <v>0</v>
      </c>
      <c r="CN122" s="92">
        <f t="shared" si="125"/>
        <v>0</v>
      </c>
      <c r="CO122" s="92">
        <f t="shared" si="125"/>
        <v>0</v>
      </c>
      <c r="CP122" s="92">
        <f t="shared" si="125"/>
        <v>0</v>
      </c>
      <c r="CQ122" s="92">
        <f t="shared" si="125"/>
        <v>0</v>
      </c>
      <c r="CR122" s="92">
        <f t="shared" si="125"/>
        <v>0</v>
      </c>
      <c r="CS122" s="92">
        <f t="shared" si="125"/>
        <v>0</v>
      </c>
      <c r="CT122" s="92">
        <f t="shared" si="125"/>
        <v>0</v>
      </c>
      <c r="CU122" s="92">
        <f t="shared" si="125"/>
        <v>96846000</v>
      </c>
      <c r="CV122" s="92">
        <f t="shared" si="125"/>
        <v>27246666</v>
      </c>
      <c r="CW122" s="92">
        <f t="shared" si="125"/>
        <v>50941940</v>
      </c>
      <c r="CX122" s="92">
        <f t="shared" si="125"/>
        <v>1717036386</v>
      </c>
      <c r="CY122" s="92">
        <f t="shared" si="125"/>
        <v>0</v>
      </c>
      <c r="CZ122" s="92">
        <f t="shared" si="125"/>
        <v>0</v>
      </c>
      <c r="DA122" s="92">
        <f t="shared" si="125"/>
        <v>98108414</v>
      </c>
      <c r="DB122" s="71">
        <f t="shared" si="62"/>
        <v>0.19401613922021022</v>
      </c>
      <c r="DC122" s="92">
        <f t="shared" ref="DC122:DZ122" si="126">SUM(DC106:DC121)</f>
        <v>715461988</v>
      </c>
      <c r="DD122" s="92">
        <f t="shared" si="126"/>
        <v>335372</v>
      </c>
      <c r="DE122" s="92">
        <f t="shared" si="126"/>
        <v>2886610</v>
      </c>
      <c r="DF122" s="92">
        <f t="shared" si="126"/>
        <v>0</v>
      </c>
      <c r="DG122" s="92">
        <f t="shared" si="126"/>
        <v>526576837</v>
      </c>
      <c r="DH122" s="92">
        <f t="shared" si="126"/>
        <v>0</v>
      </c>
      <c r="DI122" s="92">
        <f t="shared" si="126"/>
        <v>2123331</v>
      </c>
      <c r="DJ122" s="92">
        <f t="shared" si="126"/>
        <v>0</v>
      </c>
      <c r="DK122" s="92">
        <f t="shared" si="126"/>
        <v>0</v>
      </c>
      <c r="DL122" s="92">
        <f t="shared" si="126"/>
        <v>0</v>
      </c>
      <c r="DM122" s="92">
        <f t="shared" si="126"/>
        <v>0</v>
      </c>
      <c r="DN122" s="92">
        <f t="shared" si="126"/>
        <v>0</v>
      </c>
      <c r="DO122" s="92">
        <f t="shared" si="126"/>
        <v>0</v>
      </c>
      <c r="DP122" s="92">
        <f t="shared" si="126"/>
        <v>0</v>
      </c>
      <c r="DQ122" s="92">
        <f t="shared" si="126"/>
        <v>0</v>
      </c>
      <c r="DR122" s="92">
        <f t="shared" si="126"/>
        <v>0</v>
      </c>
      <c r="DS122" s="92">
        <f t="shared" si="126"/>
        <v>0</v>
      </c>
      <c r="DT122" s="92">
        <f t="shared" si="126"/>
        <v>3154000</v>
      </c>
      <c r="DU122" s="92">
        <f t="shared" si="126"/>
        <v>5465342</v>
      </c>
      <c r="DV122" s="92">
        <f t="shared" si="126"/>
        <v>63847015</v>
      </c>
      <c r="DW122" s="92">
        <f t="shared" si="126"/>
        <v>53691799</v>
      </c>
      <c r="DX122" s="92">
        <f t="shared" si="126"/>
        <v>0</v>
      </c>
      <c r="DY122" s="92">
        <f t="shared" si="126"/>
        <v>0</v>
      </c>
      <c r="DZ122" s="92">
        <f t="shared" si="126"/>
        <v>57381682</v>
      </c>
      <c r="EB122" s="47">
        <f t="shared" si="63"/>
        <v>3687641610</v>
      </c>
      <c r="EC122" s="47">
        <f t="shared" si="64"/>
        <v>3687641610</v>
      </c>
      <c r="ED122" s="47">
        <f t="shared" si="65"/>
        <v>3687641610</v>
      </c>
      <c r="EH122" s="238" t="s">
        <v>417</v>
      </c>
      <c r="EI122" s="74">
        <f t="shared" si="87"/>
        <v>3687641610</v>
      </c>
      <c r="EJ122" s="74">
        <f t="shared" si="101"/>
        <v>2972179622</v>
      </c>
      <c r="EK122" s="241">
        <v>0.80600000000000005</v>
      </c>
    </row>
    <row r="123" spans="1:141" ht="45.6" hidden="1" customHeight="1" thickTop="1" thickBot="1" x14ac:dyDescent="0.35">
      <c r="A123" s="140" t="s">
        <v>342</v>
      </c>
      <c r="B123" s="141" t="s">
        <v>343</v>
      </c>
      <c r="C123" s="78" t="s">
        <v>344</v>
      </c>
      <c r="D123" s="39" t="s">
        <v>345</v>
      </c>
      <c r="E123" s="142">
        <v>510</v>
      </c>
      <c r="F123" s="41" t="s">
        <v>346</v>
      </c>
      <c r="G123" s="42">
        <f t="shared" ref="G123:G142" si="127">SUM(H123:AD123)</f>
        <v>0</v>
      </c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>
        <f>2500000-2500000</f>
        <v>0</v>
      </c>
      <c r="AE123" s="43" t="e">
        <f t="shared" si="88"/>
        <v>#DIV/0!</v>
      </c>
      <c r="AF123" s="42">
        <f t="shared" ref="AF123:AF142" si="128">SUM(AG123:BC123)</f>
        <v>0</v>
      </c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3" t="e">
        <f t="shared" si="60"/>
        <v>#DIV/0!</v>
      </c>
      <c r="BE123" s="42">
        <f t="shared" ref="BE123:BE142" si="129">SUM(BF123:CB123)</f>
        <v>0</v>
      </c>
      <c r="BF123" s="42">
        <f t="shared" ref="BF123:BH131" si="130">H123-AG123</f>
        <v>0</v>
      </c>
      <c r="BG123" s="42">
        <f t="shared" si="130"/>
        <v>0</v>
      </c>
      <c r="BH123" s="42"/>
      <c r="BI123" s="42">
        <f t="shared" ref="BI123:BI142" si="131">+K123-AJ123</f>
        <v>0</v>
      </c>
      <c r="BJ123" s="42">
        <f t="shared" ref="BJ123:BY131" si="132">L123-AK123</f>
        <v>0</v>
      </c>
      <c r="BK123" s="42">
        <f t="shared" si="132"/>
        <v>0</v>
      </c>
      <c r="BL123" s="42">
        <f t="shared" si="132"/>
        <v>0</v>
      </c>
      <c r="BM123" s="42">
        <f t="shared" si="132"/>
        <v>0</v>
      </c>
      <c r="BN123" s="42">
        <f t="shared" si="132"/>
        <v>0</v>
      </c>
      <c r="BO123" s="42">
        <f t="shared" si="132"/>
        <v>0</v>
      </c>
      <c r="BP123" s="42">
        <f t="shared" si="132"/>
        <v>0</v>
      </c>
      <c r="BQ123" s="42">
        <f t="shared" si="132"/>
        <v>0</v>
      </c>
      <c r="BR123" s="42">
        <f t="shared" si="132"/>
        <v>0</v>
      </c>
      <c r="BS123" s="42">
        <f t="shared" si="132"/>
        <v>0</v>
      </c>
      <c r="BT123" s="42">
        <f t="shared" si="132"/>
        <v>0</v>
      </c>
      <c r="BU123" s="42">
        <f t="shared" si="132"/>
        <v>0</v>
      </c>
      <c r="BV123" s="42">
        <f t="shared" si="132"/>
        <v>0</v>
      </c>
      <c r="BW123" s="42">
        <f t="shared" si="132"/>
        <v>0</v>
      </c>
      <c r="BX123" s="42">
        <f t="shared" si="132"/>
        <v>0</v>
      </c>
      <c r="BY123" s="42">
        <f t="shared" si="132"/>
        <v>0</v>
      </c>
      <c r="BZ123" s="42">
        <f t="shared" ref="BZ123:BZ131" si="133">AB123-BA123</f>
        <v>0</v>
      </c>
      <c r="CA123" s="42"/>
      <c r="CB123" s="42">
        <f t="shared" ref="CB123:CB131" si="134">AD123-BC123</f>
        <v>0</v>
      </c>
      <c r="CC123" s="43" t="e">
        <f t="shared" si="117"/>
        <v>#DIV/0!</v>
      </c>
      <c r="CD123" s="42">
        <f t="shared" ref="CD123:CD142" si="135">SUM(CE123:DA123)</f>
        <v>0</v>
      </c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3" t="e">
        <f t="shared" si="62"/>
        <v>#DIV/0!</v>
      </c>
      <c r="DC123" s="42">
        <f t="shared" ref="DC123:DC142" si="136">SUM(DD123:DZ123)</f>
        <v>0</v>
      </c>
      <c r="DD123" s="42">
        <f t="shared" ref="DD123:DF131" si="137">H123-CE123</f>
        <v>0</v>
      </c>
      <c r="DE123" s="42">
        <f t="shared" si="137"/>
        <v>0</v>
      </c>
      <c r="DF123" s="42"/>
      <c r="DG123" s="42">
        <f t="shared" ref="DG123:DV138" si="138">K123-CH123</f>
        <v>0</v>
      </c>
      <c r="DH123" s="42">
        <f t="shared" si="138"/>
        <v>0</v>
      </c>
      <c r="DI123" s="42">
        <f t="shared" si="138"/>
        <v>0</v>
      </c>
      <c r="DJ123" s="42">
        <f t="shared" si="138"/>
        <v>0</v>
      </c>
      <c r="DK123" s="42">
        <f t="shared" si="138"/>
        <v>0</v>
      </c>
      <c r="DL123" s="42">
        <f t="shared" si="138"/>
        <v>0</v>
      </c>
      <c r="DM123" s="42">
        <f t="shared" si="138"/>
        <v>0</v>
      </c>
      <c r="DN123" s="42">
        <f t="shared" si="138"/>
        <v>0</v>
      </c>
      <c r="DO123" s="42">
        <f t="shared" si="138"/>
        <v>0</v>
      </c>
      <c r="DP123" s="42">
        <f t="shared" si="138"/>
        <v>0</v>
      </c>
      <c r="DQ123" s="42">
        <f t="shared" si="138"/>
        <v>0</v>
      </c>
      <c r="DR123" s="42">
        <f t="shared" si="138"/>
        <v>0</v>
      </c>
      <c r="DS123" s="42">
        <f t="shared" si="138"/>
        <v>0</v>
      </c>
      <c r="DT123" s="42">
        <f t="shared" si="138"/>
        <v>0</v>
      </c>
      <c r="DU123" s="42">
        <f t="shared" si="138"/>
        <v>0</v>
      </c>
      <c r="DV123" s="42">
        <f t="shared" si="138"/>
        <v>0</v>
      </c>
      <c r="DW123" s="42">
        <f t="shared" ref="DW123:DX131" si="139">AA123-CX123</f>
        <v>0</v>
      </c>
      <c r="DX123" s="42">
        <f t="shared" si="139"/>
        <v>0</v>
      </c>
      <c r="DY123" s="42"/>
      <c r="DZ123" s="42">
        <f t="shared" ref="DZ123:DZ131" si="140">AD123-DA123</f>
        <v>0</v>
      </c>
      <c r="EB123" s="47">
        <f t="shared" si="63"/>
        <v>0</v>
      </c>
      <c r="EC123" s="47">
        <f t="shared" si="64"/>
        <v>0</v>
      </c>
      <c r="ED123" s="47">
        <f t="shared" si="65"/>
        <v>0</v>
      </c>
      <c r="EI123" s="74">
        <f t="shared" si="87"/>
        <v>0</v>
      </c>
      <c r="EJ123" s="74">
        <f t="shared" si="101"/>
        <v>0</v>
      </c>
      <c r="EK123" s="241"/>
    </row>
    <row r="124" spans="1:141" ht="26.4" hidden="1" customHeight="1" thickTop="1" x14ac:dyDescent="0.3">
      <c r="A124" s="82"/>
      <c r="B124" s="143" t="s">
        <v>347</v>
      </c>
      <c r="C124" s="78" t="s">
        <v>348</v>
      </c>
      <c r="D124" s="39" t="s">
        <v>349</v>
      </c>
      <c r="E124" s="142">
        <v>111</v>
      </c>
      <c r="F124" s="41" t="s">
        <v>302</v>
      </c>
      <c r="G124" s="42">
        <f t="shared" si="127"/>
        <v>11469851222</v>
      </c>
      <c r="H124" s="42"/>
      <c r="I124" s="42"/>
      <c r="J124" s="42"/>
      <c r="K124" s="42"/>
      <c r="L124" s="42">
        <v>10500000000</v>
      </c>
      <c r="M124" s="42"/>
      <c r="N124" s="42"/>
      <c r="O124" s="42">
        <f>130000000+180000000-126444390</f>
        <v>183555610</v>
      </c>
      <c r="P124" s="42">
        <f>266000000+30000000-41930300-220000000</f>
        <v>34069700</v>
      </c>
      <c r="Q124" s="42">
        <f>450000000+168723421-45000000-341800300</f>
        <v>231923121</v>
      </c>
      <c r="R124" s="42">
        <f>370000000+122156723-8786495</f>
        <v>483370228</v>
      </c>
      <c r="S124" s="42"/>
      <c r="T124" s="42">
        <f>4772680</f>
        <v>4772680</v>
      </c>
      <c r="U124" s="42"/>
      <c r="V124" s="42">
        <f>60000000+4273051-32113168</f>
        <v>32159883</v>
      </c>
      <c r="W124" s="42"/>
      <c r="X124" s="42"/>
      <c r="Y124" s="42"/>
      <c r="Z124" s="42"/>
      <c r="AA124" s="42"/>
      <c r="AB124" s="42"/>
      <c r="AC124" s="42"/>
      <c r="AD124" s="42"/>
      <c r="AE124" s="43">
        <f t="shared" si="88"/>
        <v>7.7740573242110353E-2</v>
      </c>
      <c r="AF124" s="42">
        <f t="shared" si="128"/>
        <v>891672809</v>
      </c>
      <c r="AG124" s="42"/>
      <c r="AH124" s="42"/>
      <c r="AI124" s="42"/>
      <c r="AJ124" s="42"/>
      <c r="AK124" s="42"/>
      <c r="AL124" s="42"/>
      <c r="AM124" s="42"/>
      <c r="AN124" s="42">
        <f>+'[3]NOVIEMBRE 2019'!$Q$18</f>
        <v>167117817</v>
      </c>
      <c r="AO124" s="42">
        <f>+'[11]ABRIL 2019'!$Q$18</f>
        <v>34069700</v>
      </c>
      <c r="AP124" s="42">
        <f>+'[1]OCTUBRE 2019'!$S$18</f>
        <v>174955181</v>
      </c>
      <c r="AQ124" s="42">
        <f>+'[8]AGOSTO 2019'!$S$18</f>
        <v>483370228</v>
      </c>
      <c r="AR124" s="42"/>
      <c r="AS124" s="42"/>
      <c r="AT124" s="42"/>
      <c r="AU124" s="42">
        <f>+'[12]JULIO 2019'!$W$18</f>
        <v>32159883</v>
      </c>
      <c r="AV124" s="42"/>
      <c r="AW124" s="42"/>
      <c r="AX124" s="42"/>
      <c r="AY124" s="42"/>
      <c r="AZ124" s="42"/>
      <c r="BA124" s="42"/>
      <c r="BB124" s="42"/>
      <c r="BC124" s="42"/>
      <c r="BD124" s="43">
        <f t="shared" si="60"/>
        <v>0.92225942675788963</v>
      </c>
      <c r="BE124" s="42">
        <f t="shared" si="129"/>
        <v>10578178413</v>
      </c>
      <c r="BF124" s="42">
        <f t="shared" si="130"/>
        <v>0</v>
      </c>
      <c r="BG124" s="42">
        <f t="shared" si="130"/>
        <v>0</v>
      </c>
      <c r="BH124" s="42"/>
      <c r="BI124" s="42">
        <f t="shared" si="131"/>
        <v>0</v>
      </c>
      <c r="BJ124" s="42">
        <f t="shared" si="132"/>
        <v>10500000000</v>
      </c>
      <c r="BK124" s="42">
        <f t="shared" si="132"/>
        <v>0</v>
      </c>
      <c r="BL124" s="42">
        <f t="shared" si="132"/>
        <v>0</v>
      </c>
      <c r="BM124" s="42">
        <f t="shared" si="132"/>
        <v>16437793</v>
      </c>
      <c r="BN124" s="42">
        <f t="shared" si="132"/>
        <v>0</v>
      </c>
      <c r="BO124" s="42">
        <f t="shared" si="132"/>
        <v>56967940</v>
      </c>
      <c r="BP124" s="42">
        <f t="shared" si="132"/>
        <v>0</v>
      </c>
      <c r="BQ124" s="42">
        <f t="shared" si="132"/>
        <v>0</v>
      </c>
      <c r="BR124" s="42">
        <f t="shared" si="132"/>
        <v>4772680</v>
      </c>
      <c r="BS124" s="42">
        <f t="shared" si="132"/>
        <v>0</v>
      </c>
      <c r="BT124" s="42">
        <f t="shared" si="132"/>
        <v>0</v>
      </c>
      <c r="BU124" s="42">
        <f t="shared" si="132"/>
        <v>0</v>
      </c>
      <c r="BV124" s="42">
        <f t="shared" si="132"/>
        <v>0</v>
      </c>
      <c r="BW124" s="42">
        <f t="shared" si="132"/>
        <v>0</v>
      </c>
      <c r="BX124" s="42">
        <f t="shared" si="132"/>
        <v>0</v>
      </c>
      <c r="BY124" s="42">
        <f t="shared" si="132"/>
        <v>0</v>
      </c>
      <c r="BZ124" s="42">
        <f t="shared" si="133"/>
        <v>0</v>
      </c>
      <c r="CA124" s="42"/>
      <c r="CB124" s="42">
        <f t="shared" si="134"/>
        <v>0</v>
      </c>
      <c r="CC124" s="43">
        <f t="shared" si="117"/>
        <v>7.6429191192868992E-2</v>
      </c>
      <c r="CD124" s="42">
        <f t="shared" si="135"/>
        <v>876631452</v>
      </c>
      <c r="CE124" s="42"/>
      <c r="CF124" s="42"/>
      <c r="CG124" s="42"/>
      <c r="CH124" s="42"/>
      <c r="CI124" s="42"/>
      <c r="CJ124" s="42"/>
      <c r="CK124" s="42"/>
      <c r="CL124" s="42">
        <f>+'[3]NOVIEMBRE 2019'!$H$19+'[3]NOVIEMBRE 2019'!$H$21+'[3]NOVIEMBRE 2019'!$H$23+'[3]NOVIEMBRE 2019'!$H$31+'[3]NOVIEMBRE 2019'!$H$41+'[3]NOVIEMBRE 2019'!$H$46+'[3]NOVIEMBRE 2019'!$H$47</f>
        <v>152255141</v>
      </c>
      <c r="CM124" s="42">
        <f>+'[7]MAYO 2019'!$H$25</f>
        <v>34069700</v>
      </c>
      <c r="CN124" s="42">
        <f>+'[3]NOVIEMBRE 2019'!$H$29+'[3]NOVIEMBRE 2019'!$H$43</f>
        <v>174776500</v>
      </c>
      <c r="CO124" s="42">
        <f>+'[12]JULIO 2019'!$H$27+'[12]JULIO 2019'!$H$35</f>
        <v>483370228</v>
      </c>
      <c r="CP124" s="42"/>
      <c r="CQ124" s="42"/>
      <c r="CR124" s="42"/>
      <c r="CS124" s="42">
        <f>+'[12]JULIO 2019'!$H$39</f>
        <v>32159883</v>
      </c>
      <c r="CT124" s="42"/>
      <c r="CU124" s="42"/>
      <c r="CV124" s="42"/>
      <c r="CW124" s="42"/>
      <c r="CX124" s="42"/>
      <c r="CY124" s="42"/>
      <c r="CZ124" s="42"/>
      <c r="DA124" s="42"/>
      <c r="DB124" s="43">
        <f t="shared" si="62"/>
        <v>0.92357080880713105</v>
      </c>
      <c r="DC124" s="42">
        <f t="shared" si="136"/>
        <v>10593219770</v>
      </c>
      <c r="DD124" s="42">
        <f t="shared" si="137"/>
        <v>0</v>
      </c>
      <c r="DE124" s="42">
        <f t="shared" si="137"/>
        <v>0</v>
      </c>
      <c r="DF124" s="42"/>
      <c r="DG124" s="42">
        <f t="shared" si="138"/>
        <v>0</v>
      </c>
      <c r="DH124" s="42">
        <f t="shared" si="138"/>
        <v>10500000000</v>
      </c>
      <c r="DI124" s="42">
        <f t="shared" si="138"/>
        <v>0</v>
      </c>
      <c r="DJ124" s="42">
        <f t="shared" si="138"/>
        <v>0</v>
      </c>
      <c r="DK124" s="42">
        <f t="shared" si="138"/>
        <v>31300469</v>
      </c>
      <c r="DL124" s="42">
        <f t="shared" si="138"/>
        <v>0</v>
      </c>
      <c r="DM124" s="42">
        <f t="shared" si="138"/>
        <v>57146621</v>
      </c>
      <c r="DN124" s="42">
        <f t="shared" si="138"/>
        <v>0</v>
      </c>
      <c r="DO124" s="42">
        <f t="shared" si="138"/>
        <v>0</v>
      </c>
      <c r="DP124" s="42">
        <f t="shared" si="138"/>
        <v>4772680</v>
      </c>
      <c r="DQ124" s="42">
        <f t="shared" si="138"/>
        <v>0</v>
      </c>
      <c r="DR124" s="42">
        <f t="shared" si="138"/>
        <v>0</v>
      </c>
      <c r="DS124" s="42">
        <f t="shared" si="138"/>
        <v>0</v>
      </c>
      <c r="DT124" s="42">
        <f t="shared" si="138"/>
        <v>0</v>
      </c>
      <c r="DU124" s="42">
        <f t="shared" si="138"/>
        <v>0</v>
      </c>
      <c r="DV124" s="42">
        <f t="shared" si="138"/>
        <v>0</v>
      </c>
      <c r="DW124" s="42">
        <f t="shared" si="139"/>
        <v>0</v>
      </c>
      <c r="DX124" s="42">
        <f t="shared" si="139"/>
        <v>0</v>
      </c>
      <c r="DY124" s="42"/>
      <c r="DZ124" s="42">
        <f t="shared" si="140"/>
        <v>0</v>
      </c>
      <c r="EB124" s="47">
        <f t="shared" si="63"/>
        <v>11469851222</v>
      </c>
      <c r="EC124" s="47">
        <f t="shared" si="64"/>
        <v>11469851222</v>
      </c>
      <c r="ED124" s="47">
        <f t="shared" si="65"/>
        <v>11469851222</v>
      </c>
      <c r="EH124" s="117"/>
      <c r="EI124" s="74">
        <f t="shared" si="87"/>
        <v>11469851222</v>
      </c>
      <c r="EJ124" s="74">
        <f t="shared" si="101"/>
        <v>876631452</v>
      </c>
      <c r="EK124" s="241"/>
    </row>
    <row r="125" spans="1:141" s="117" customFormat="1" ht="34.799999999999997" hidden="1" customHeight="1" x14ac:dyDescent="0.3">
      <c r="A125" s="82"/>
      <c r="B125" s="86"/>
      <c r="C125" s="144" t="s">
        <v>350</v>
      </c>
      <c r="D125" s="39" t="s">
        <v>351</v>
      </c>
      <c r="E125" s="145">
        <v>111</v>
      </c>
      <c r="F125" s="41" t="s">
        <v>352</v>
      </c>
      <c r="G125" s="42">
        <f t="shared" si="127"/>
        <v>1573951198</v>
      </c>
      <c r="H125" s="42"/>
      <c r="I125" s="42"/>
      <c r="J125" s="42"/>
      <c r="K125" s="42"/>
      <c r="L125" s="42">
        <f>1500000000-1500000000</f>
        <v>0</v>
      </c>
      <c r="M125" s="42"/>
      <c r="N125" s="42"/>
      <c r="O125" s="42">
        <f>147239396+120000000-104225677+126444390</f>
        <v>289458109</v>
      </c>
      <c r="P125" s="42">
        <f>5000000+135000000+41930300</f>
        <v>181930300</v>
      </c>
      <c r="Q125" s="42">
        <f>57000000</f>
        <v>57000000</v>
      </c>
      <c r="R125" s="42">
        <f>78000000</f>
        <v>78000000</v>
      </c>
      <c r="S125" s="42"/>
      <c r="T125" s="42">
        <v>66274562</v>
      </c>
      <c r="U125" s="42">
        <v>5000000</v>
      </c>
      <c r="V125" s="42">
        <f>17800000+100017010-20000000-74817010</f>
        <v>23000000</v>
      </c>
      <c r="W125" s="42">
        <v>20000000</v>
      </c>
      <c r="X125" s="42"/>
      <c r="Y125" s="42">
        <f>620237929-25000000</f>
        <v>595237929</v>
      </c>
      <c r="Z125" s="42"/>
      <c r="AA125" s="42"/>
      <c r="AB125" s="42"/>
      <c r="AC125" s="42">
        <f>123550000+296638+18000000-18000000</f>
        <v>123846638</v>
      </c>
      <c r="AD125" s="42">
        <f>70000000+16203660+15000000+33000000</f>
        <v>134203660</v>
      </c>
      <c r="AE125" s="115">
        <f t="shared" si="88"/>
        <v>0.75028655939305688</v>
      </c>
      <c r="AF125" s="42">
        <f t="shared" si="128"/>
        <v>1180914429</v>
      </c>
      <c r="AG125" s="116"/>
      <c r="AH125" s="116"/>
      <c r="AI125" s="116"/>
      <c r="AJ125" s="116"/>
      <c r="AK125" s="116"/>
      <c r="AL125" s="116"/>
      <c r="AM125" s="116"/>
      <c r="AN125" s="116">
        <f>+'[3]NOVIEMBRE 2019'!$Q$53</f>
        <v>289365728</v>
      </c>
      <c r="AO125" s="116">
        <f>+'[3]NOVIEMBRE 2019'!$R$53</f>
        <v>110023855</v>
      </c>
      <c r="AP125" s="116">
        <f>+'[3]NOVIEMBRE 2019'!$S$53</f>
        <v>31474170</v>
      </c>
      <c r="AQ125" s="116">
        <f>+'[8]AGOSTO 2019'!$S$49</f>
        <v>54907320</v>
      </c>
      <c r="AR125" s="116"/>
      <c r="AS125" s="116"/>
      <c r="AT125" s="116">
        <f>+'[9]FEBRERO 2019'!$V$26</f>
        <v>3567404</v>
      </c>
      <c r="AU125" s="116"/>
      <c r="AV125" s="116">
        <f>+'[3]NOVIEMBRE 2019'!$Y$53</f>
        <v>19955896</v>
      </c>
      <c r="AW125" s="116"/>
      <c r="AX125" s="116">
        <f>+'[3]NOVIEMBRE 2019'!$AA$53</f>
        <v>536437565</v>
      </c>
      <c r="AY125" s="116"/>
      <c r="AZ125" s="116"/>
      <c r="BA125" s="116"/>
      <c r="BB125" s="116">
        <f>+'[12]JULIO 2019'!$AE$45</f>
        <v>34000000</v>
      </c>
      <c r="BC125" s="116">
        <f>+'[3]NOVIEMBRE 2019'!$AG$53</f>
        <v>101182491</v>
      </c>
      <c r="BD125" s="115">
        <f t="shared" si="60"/>
        <v>0.24971344060694312</v>
      </c>
      <c r="BE125" s="42">
        <f t="shared" si="129"/>
        <v>393036769</v>
      </c>
      <c r="BF125" s="42">
        <f t="shared" si="130"/>
        <v>0</v>
      </c>
      <c r="BG125" s="42">
        <f t="shared" si="130"/>
        <v>0</v>
      </c>
      <c r="BH125" s="42"/>
      <c r="BI125" s="42">
        <f t="shared" si="131"/>
        <v>0</v>
      </c>
      <c r="BJ125" s="42">
        <f t="shared" si="132"/>
        <v>0</v>
      </c>
      <c r="BK125" s="42">
        <f t="shared" si="132"/>
        <v>0</v>
      </c>
      <c r="BL125" s="42">
        <f t="shared" si="132"/>
        <v>0</v>
      </c>
      <c r="BM125" s="42">
        <f t="shared" si="132"/>
        <v>92381</v>
      </c>
      <c r="BN125" s="42">
        <f t="shared" si="132"/>
        <v>71906445</v>
      </c>
      <c r="BO125" s="42">
        <f t="shared" si="132"/>
        <v>25525830</v>
      </c>
      <c r="BP125" s="42">
        <f t="shared" si="132"/>
        <v>23092680</v>
      </c>
      <c r="BQ125" s="42">
        <f t="shared" si="132"/>
        <v>0</v>
      </c>
      <c r="BR125" s="42">
        <f t="shared" si="132"/>
        <v>66274562</v>
      </c>
      <c r="BS125" s="42">
        <f t="shared" si="132"/>
        <v>1432596</v>
      </c>
      <c r="BT125" s="42">
        <f t="shared" si="132"/>
        <v>23000000</v>
      </c>
      <c r="BU125" s="42">
        <f t="shared" si="132"/>
        <v>44104</v>
      </c>
      <c r="BV125" s="42">
        <f t="shared" si="132"/>
        <v>0</v>
      </c>
      <c r="BW125" s="42">
        <f t="shared" si="132"/>
        <v>58800364</v>
      </c>
      <c r="BX125" s="42">
        <f t="shared" si="132"/>
        <v>0</v>
      </c>
      <c r="BY125" s="42">
        <f t="shared" si="132"/>
        <v>0</v>
      </c>
      <c r="BZ125" s="42">
        <f t="shared" si="133"/>
        <v>0</v>
      </c>
      <c r="CA125" s="42">
        <f>AC125-BB125</f>
        <v>89846638</v>
      </c>
      <c r="CB125" s="42">
        <f t="shared" si="134"/>
        <v>33021169</v>
      </c>
      <c r="CC125" s="115">
        <f t="shared" si="117"/>
        <v>0.70452626702089149</v>
      </c>
      <c r="CD125" s="42">
        <f t="shared" si="135"/>
        <v>1108889962</v>
      </c>
      <c r="CE125" s="116"/>
      <c r="CF125" s="116"/>
      <c r="CG125" s="116"/>
      <c r="CH125" s="116"/>
      <c r="CI125" s="116"/>
      <c r="CJ125" s="116"/>
      <c r="CK125" s="116"/>
      <c r="CL125" s="42">
        <f>+'[3]NOVIEMBRE 2019'!$H$60+'[3]NOVIEMBRE 2019'!$H$70+'[3]NOVIEMBRE 2019'!$H$77+'[3]NOVIEMBRE 2019'!$H$102+'[3]NOVIEMBRE 2019'!$H$109+'[3]NOVIEMBRE 2019'!$H$116+'[3]NOVIEMBRE 2019'!$H$125+'[3]NOVIEMBRE 2019'!$H$134</f>
        <v>286765728</v>
      </c>
      <c r="CM125" s="42">
        <f>+'[3]NOVIEMBRE 2019'!$H$64+'[3]NOVIEMBRE 2019'!$H$73+'[3]NOVIEMBRE 2019'!$H$89+'[3]NOVIEMBRE 2019'!$H$128</f>
        <v>110023855</v>
      </c>
      <c r="CN125" s="116">
        <f>+'[1]OCTUBRE 2019'!$H$62</f>
        <v>31474170</v>
      </c>
      <c r="CO125" s="116">
        <f>+'[12]JULIO 2019'!$H$58</f>
        <v>54907320</v>
      </c>
      <c r="CP125" s="116"/>
      <c r="CQ125" s="116"/>
      <c r="CR125" s="116">
        <f>+'[9]FEBRERO 2019'!$H$29</f>
        <v>3567404</v>
      </c>
      <c r="CS125" s="116"/>
      <c r="CT125" s="116">
        <f>+'[8]AGOSTO 2019'!$H$76</f>
        <v>19955896</v>
      </c>
      <c r="CU125" s="116"/>
      <c r="CV125" s="116">
        <f>+'[3]NOVIEMBRE 2019'!$H$75+'[3]NOVIEMBRE 2019'!$H$79+'[3]NOVIEMBRE 2019'!$H$94+'[3]NOVIEMBRE 2019'!$H$99+'[3]NOVIEMBRE 2019'!$H$123+'[3]NOVIEMBRE 2019'!$H$131+'[3]NOVIEMBRE 2019'!$H$137</f>
        <v>536437565</v>
      </c>
      <c r="CW125" s="116"/>
      <c r="CX125" s="116"/>
      <c r="CY125" s="116"/>
      <c r="CZ125" s="116"/>
      <c r="DA125" s="116">
        <f>+'[3]NOVIEMBRE 2019'!$H$54+'[3]NOVIEMBRE 2019'!$H$86+'[3]NOVIEMBRE 2019'!$H$106+'[3]NOVIEMBRE 2019'!$H$112+'[3]NOVIEMBRE 2019'!$H$119</f>
        <v>65758024</v>
      </c>
      <c r="DB125" s="115">
        <f t="shared" si="62"/>
        <v>0.29547373297910851</v>
      </c>
      <c r="DC125" s="42">
        <f t="shared" si="136"/>
        <v>465061236</v>
      </c>
      <c r="DD125" s="42">
        <f t="shared" si="137"/>
        <v>0</v>
      </c>
      <c r="DE125" s="42">
        <f t="shared" si="137"/>
        <v>0</v>
      </c>
      <c r="DF125" s="42">
        <f t="shared" si="137"/>
        <v>0</v>
      </c>
      <c r="DG125" s="42">
        <f t="shared" si="138"/>
        <v>0</v>
      </c>
      <c r="DH125" s="42">
        <f t="shared" si="138"/>
        <v>0</v>
      </c>
      <c r="DI125" s="42">
        <f t="shared" si="138"/>
        <v>0</v>
      </c>
      <c r="DJ125" s="42">
        <f t="shared" si="138"/>
        <v>0</v>
      </c>
      <c r="DK125" s="42">
        <f t="shared" si="138"/>
        <v>2692381</v>
      </c>
      <c r="DL125" s="42">
        <f t="shared" si="138"/>
        <v>71906445</v>
      </c>
      <c r="DM125" s="42">
        <f t="shared" si="138"/>
        <v>25525830</v>
      </c>
      <c r="DN125" s="42">
        <f t="shared" si="138"/>
        <v>23092680</v>
      </c>
      <c r="DO125" s="42">
        <f t="shared" si="138"/>
        <v>0</v>
      </c>
      <c r="DP125" s="42">
        <f t="shared" si="138"/>
        <v>66274562</v>
      </c>
      <c r="DQ125" s="42">
        <f t="shared" si="138"/>
        <v>1432596</v>
      </c>
      <c r="DR125" s="42">
        <f t="shared" si="138"/>
        <v>23000000</v>
      </c>
      <c r="DS125" s="42">
        <f t="shared" si="138"/>
        <v>44104</v>
      </c>
      <c r="DT125" s="42">
        <f t="shared" si="138"/>
        <v>0</v>
      </c>
      <c r="DU125" s="42">
        <f t="shared" si="138"/>
        <v>58800364</v>
      </c>
      <c r="DV125" s="42">
        <f t="shared" si="138"/>
        <v>0</v>
      </c>
      <c r="DW125" s="42">
        <f t="shared" si="139"/>
        <v>0</v>
      </c>
      <c r="DX125" s="42">
        <f t="shared" si="139"/>
        <v>0</v>
      </c>
      <c r="DY125" s="42">
        <f>AC125-CZ125</f>
        <v>123846638</v>
      </c>
      <c r="DZ125" s="42">
        <f t="shared" si="140"/>
        <v>68445636</v>
      </c>
      <c r="EB125" s="47">
        <f t="shared" si="63"/>
        <v>1573951198</v>
      </c>
      <c r="EC125" s="47">
        <f t="shared" si="64"/>
        <v>1573951198</v>
      </c>
      <c r="ED125" s="47">
        <f t="shared" si="65"/>
        <v>1573951198</v>
      </c>
      <c r="EF125" s="146"/>
      <c r="EH125"/>
      <c r="EI125" s="74">
        <f t="shared" si="87"/>
        <v>1573951198</v>
      </c>
      <c r="EJ125" s="74">
        <f t="shared" si="101"/>
        <v>1108889962</v>
      </c>
      <c r="EK125" s="241"/>
    </row>
    <row r="126" spans="1:141" ht="33" hidden="1" customHeight="1" x14ac:dyDescent="0.3">
      <c r="A126" s="82"/>
      <c r="B126" s="147" t="s">
        <v>353</v>
      </c>
      <c r="C126" s="78" t="s">
        <v>354</v>
      </c>
      <c r="D126" s="39" t="s">
        <v>355</v>
      </c>
      <c r="E126" s="142">
        <v>211</v>
      </c>
      <c r="F126" s="41" t="s">
        <v>356</v>
      </c>
      <c r="G126" s="42">
        <f t="shared" si="127"/>
        <v>1254826690</v>
      </c>
      <c r="H126" s="42"/>
      <c r="I126" s="42"/>
      <c r="J126" s="42"/>
      <c r="K126" s="42"/>
      <c r="L126" s="42"/>
      <c r="M126" s="42"/>
      <c r="N126" s="42"/>
      <c r="O126" s="42">
        <f>300000000+340559960</f>
        <v>640559960</v>
      </c>
      <c r="P126" s="42">
        <f>159000000+80000000</f>
        <v>239000000</v>
      </c>
      <c r="Q126" s="42">
        <f>115000000</f>
        <v>115000000</v>
      </c>
      <c r="R126" s="42">
        <f>75000000-75000000</f>
        <v>0</v>
      </c>
      <c r="S126" s="42"/>
      <c r="T126" s="42">
        <v>45000000</v>
      </c>
      <c r="U126" s="42">
        <v>30905320</v>
      </c>
      <c r="V126" s="42">
        <f>45200000-45200000</f>
        <v>0</v>
      </c>
      <c r="W126" s="42"/>
      <c r="X126" s="42"/>
      <c r="Y126" s="42"/>
      <c r="Z126" s="42"/>
      <c r="AA126" s="42"/>
      <c r="AB126" s="42"/>
      <c r="AC126" s="42">
        <f>14405126+45956284</f>
        <v>60361410</v>
      </c>
      <c r="AD126" s="42">
        <f>93000000+22000000+9000000</f>
        <v>124000000</v>
      </c>
      <c r="AE126" s="43">
        <f t="shared" si="88"/>
        <v>0.86900876964929719</v>
      </c>
      <c r="AF126" s="42">
        <f t="shared" si="128"/>
        <v>1090455398</v>
      </c>
      <c r="AG126" s="42"/>
      <c r="AH126" s="42"/>
      <c r="AI126" s="42"/>
      <c r="AJ126" s="42"/>
      <c r="AK126" s="42"/>
      <c r="AL126" s="42"/>
      <c r="AM126" s="42"/>
      <c r="AN126" s="42">
        <f>+'[3]NOVIEMBRE 2019'!$Q$153</f>
        <v>593798487</v>
      </c>
      <c r="AO126" s="42">
        <f>+'[8]AGOSTO 2019'!$Q$110</f>
        <v>239000000</v>
      </c>
      <c r="AP126" s="42">
        <f>+'[3]NOVIEMBRE 2019'!$S$153</f>
        <v>100000000</v>
      </c>
      <c r="AQ126" s="42"/>
      <c r="AR126" s="42"/>
      <c r="AS126" s="42">
        <v>45000000</v>
      </c>
      <c r="AT126" s="42"/>
      <c r="AU126" s="42"/>
      <c r="AV126" s="42"/>
      <c r="AW126" s="42"/>
      <c r="AX126" s="42"/>
      <c r="AY126" s="42"/>
      <c r="AZ126" s="42"/>
      <c r="BA126" s="42"/>
      <c r="BB126" s="42">
        <f>+'[8]AGOSTO 2019'!$AE$110</f>
        <v>45956280</v>
      </c>
      <c r="BC126" s="42">
        <f>+'[1]OCTUBRE 2019'!$AG$137</f>
        <v>66700631</v>
      </c>
      <c r="BD126" s="43">
        <f t="shared" si="60"/>
        <v>0.13099123035070281</v>
      </c>
      <c r="BE126" s="42">
        <f t="shared" si="129"/>
        <v>164371292</v>
      </c>
      <c r="BF126" s="42">
        <f t="shared" si="130"/>
        <v>0</v>
      </c>
      <c r="BG126" s="42">
        <f t="shared" si="130"/>
        <v>0</v>
      </c>
      <c r="BH126" s="42">
        <f t="shared" si="130"/>
        <v>0</v>
      </c>
      <c r="BI126" s="42">
        <f t="shared" si="131"/>
        <v>0</v>
      </c>
      <c r="BJ126" s="42">
        <f t="shared" si="132"/>
        <v>0</v>
      </c>
      <c r="BK126" s="42">
        <f t="shared" si="132"/>
        <v>0</v>
      </c>
      <c r="BL126" s="42">
        <f t="shared" si="132"/>
        <v>0</v>
      </c>
      <c r="BM126" s="42">
        <f t="shared" si="132"/>
        <v>46761473</v>
      </c>
      <c r="BN126" s="42">
        <f t="shared" si="132"/>
        <v>0</v>
      </c>
      <c r="BO126" s="42">
        <f t="shared" si="132"/>
        <v>15000000</v>
      </c>
      <c r="BP126" s="42">
        <f t="shared" si="132"/>
        <v>0</v>
      </c>
      <c r="BQ126" s="42">
        <f t="shared" si="132"/>
        <v>0</v>
      </c>
      <c r="BR126" s="42">
        <f t="shared" si="132"/>
        <v>0</v>
      </c>
      <c r="BS126" s="42">
        <f t="shared" si="132"/>
        <v>30905320</v>
      </c>
      <c r="BT126" s="42">
        <f t="shared" si="132"/>
        <v>0</v>
      </c>
      <c r="BU126" s="42">
        <f t="shared" si="132"/>
        <v>0</v>
      </c>
      <c r="BV126" s="42">
        <f t="shared" si="132"/>
        <v>0</v>
      </c>
      <c r="BW126" s="42">
        <f t="shared" si="132"/>
        <v>0</v>
      </c>
      <c r="BX126" s="42">
        <f t="shared" si="132"/>
        <v>0</v>
      </c>
      <c r="BY126" s="42">
        <f t="shared" si="132"/>
        <v>0</v>
      </c>
      <c r="BZ126" s="42">
        <f t="shared" si="133"/>
        <v>0</v>
      </c>
      <c r="CA126" s="42">
        <f>AC126-BB126</f>
        <v>14405130</v>
      </c>
      <c r="CB126" s="42">
        <f t="shared" si="134"/>
        <v>57299369</v>
      </c>
      <c r="CC126" s="43">
        <f t="shared" si="117"/>
        <v>0.3494672909770512</v>
      </c>
      <c r="CD126" s="42">
        <f t="shared" si="135"/>
        <v>438520884</v>
      </c>
      <c r="CE126" s="42"/>
      <c r="CF126" s="42"/>
      <c r="CG126" s="42"/>
      <c r="CH126" s="42"/>
      <c r="CI126" s="42"/>
      <c r="CJ126" s="42"/>
      <c r="CK126" s="42"/>
      <c r="CL126" s="42">
        <f>+'[3]NOVIEMBRE 2019'!$H$162+'[3]NOVIEMBRE 2019'!$H$164+'[3]NOVIEMBRE 2019'!$H$167+'[3]NOVIEMBRE 2019'!$H$179+'[3]NOVIEMBRE 2019'!$H$182+'[3]NOVIEMBRE 2019'!$H$185+'[3]NOVIEMBRE 2019'!$H$188+'[3]NOVIEMBRE 2019'!$H$198</f>
        <v>325903627</v>
      </c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>
        <f>+'[7]MAYO 2019'!$H$80</f>
        <v>45956280</v>
      </c>
      <c r="DA126" s="116">
        <f>+'[3]NOVIEMBRE 2019'!$H$154+'[3]NOVIEMBRE 2019'!$H$159+'[3]NOVIEMBRE 2019'!$H$172+'[3]NOVIEMBRE 2019'!$H$191+'[3]NOVIEMBRE 2019'!$H$195</f>
        <v>66660977</v>
      </c>
      <c r="DB126" s="43">
        <f t="shared" si="62"/>
        <v>0.6505327090229488</v>
      </c>
      <c r="DC126" s="42">
        <f t="shared" si="136"/>
        <v>816305806</v>
      </c>
      <c r="DD126" s="42">
        <f t="shared" si="137"/>
        <v>0</v>
      </c>
      <c r="DE126" s="42">
        <f t="shared" si="137"/>
        <v>0</v>
      </c>
      <c r="DF126" s="42">
        <f t="shared" si="137"/>
        <v>0</v>
      </c>
      <c r="DG126" s="42">
        <f t="shared" si="138"/>
        <v>0</v>
      </c>
      <c r="DH126" s="42">
        <f t="shared" si="138"/>
        <v>0</v>
      </c>
      <c r="DI126" s="42">
        <f t="shared" si="138"/>
        <v>0</v>
      </c>
      <c r="DJ126" s="42">
        <f t="shared" si="138"/>
        <v>0</v>
      </c>
      <c r="DK126" s="42">
        <f t="shared" si="138"/>
        <v>314656333</v>
      </c>
      <c r="DL126" s="42">
        <f t="shared" si="138"/>
        <v>239000000</v>
      </c>
      <c r="DM126" s="42">
        <f t="shared" si="138"/>
        <v>115000000</v>
      </c>
      <c r="DN126" s="42">
        <f t="shared" si="138"/>
        <v>0</v>
      </c>
      <c r="DO126" s="42">
        <f t="shared" si="138"/>
        <v>0</v>
      </c>
      <c r="DP126" s="42">
        <f t="shared" si="138"/>
        <v>45000000</v>
      </c>
      <c r="DQ126" s="42">
        <f t="shared" si="138"/>
        <v>30905320</v>
      </c>
      <c r="DR126" s="42">
        <f t="shared" si="138"/>
        <v>0</v>
      </c>
      <c r="DS126" s="42">
        <f t="shared" si="138"/>
        <v>0</v>
      </c>
      <c r="DT126" s="42">
        <f t="shared" si="138"/>
        <v>0</v>
      </c>
      <c r="DU126" s="42">
        <f t="shared" si="138"/>
        <v>0</v>
      </c>
      <c r="DV126" s="42">
        <f t="shared" si="138"/>
        <v>0</v>
      </c>
      <c r="DW126" s="42">
        <f t="shared" si="139"/>
        <v>0</v>
      </c>
      <c r="DX126" s="42">
        <f t="shared" si="139"/>
        <v>0</v>
      </c>
      <c r="DY126" s="42">
        <f>AC126-CZ126</f>
        <v>14405130</v>
      </c>
      <c r="DZ126" s="42">
        <f t="shared" si="140"/>
        <v>57339023</v>
      </c>
      <c r="EB126" s="47">
        <f t="shared" si="63"/>
        <v>1254826690</v>
      </c>
      <c r="EC126" s="47">
        <f t="shared" si="64"/>
        <v>1254826690</v>
      </c>
      <c r="ED126" s="47">
        <f t="shared" si="65"/>
        <v>1254826690</v>
      </c>
      <c r="EI126" s="74">
        <f t="shared" si="87"/>
        <v>1254826690</v>
      </c>
      <c r="EJ126" s="74">
        <f t="shared" si="101"/>
        <v>438520884</v>
      </c>
      <c r="EK126" s="241"/>
    </row>
    <row r="127" spans="1:141" ht="35.4" hidden="1" customHeight="1" x14ac:dyDescent="0.3">
      <c r="A127" s="82"/>
      <c r="B127" s="148"/>
      <c r="C127" s="78" t="s">
        <v>357</v>
      </c>
      <c r="D127" s="118" t="s">
        <v>358</v>
      </c>
      <c r="E127" s="142">
        <v>211</v>
      </c>
      <c r="F127" s="41" t="s">
        <v>359</v>
      </c>
      <c r="G127" s="42">
        <f t="shared" si="127"/>
        <v>3236110161</v>
      </c>
      <c r="H127" s="42"/>
      <c r="I127" s="42"/>
      <c r="J127" s="42"/>
      <c r="K127" s="42"/>
      <c r="L127" s="42"/>
      <c r="M127" s="42"/>
      <c r="N127" s="42"/>
      <c r="O127" s="42">
        <f>319000000+200000000+104225677</f>
        <v>623225677</v>
      </c>
      <c r="P127" s="42">
        <f>200630318+220000000</f>
        <v>420630318</v>
      </c>
      <c r="Q127" s="42">
        <f>93000000+341800300</f>
        <v>434800300</v>
      </c>
      <c r="R127" s="42">
        <f>47000000+75000000+8786495</f>
        <v>130786495</v>
      </c>
      <c r="S127" s="42"/>
      <c r="T127" s="42">
        <v>5000000</v>
      </c>
      <c r="U127" s="42"/>
      <c r="V127" s="42">
        <f>20000000+45200000+106930178</f>
        <v>172130178</v>
      </c>
      <c r="W127" s="42">
        <v>50000000</v>
      </c>
      <c r="X127" s="42"/>
      <c r="Y127" s="42">
        <v>750000000</v>
      </c>
      <c r="Z127" s="42"/>
      <c r="AA127" s="42"/>
      <c r="AB127" s="42"/>
      <c r="AC127" s="42">
        <f>149490840+13172000+18000000</f>
        <v>180662840</v>
      </c>
      <c r="AD127" s="42">
        <f>194000000+50000000+2500000+114010258+74102759+4261336+20000000+10000000</f>
        <v>468874353</v>
      </c>
      <c r="AE127" s="43">
        <f t="shared" si="88"/>
        <v>0.95133756325794006</v>
      </c>
      <c r="AF127" s="42">
        <f t="shared" si="128"/>
        <v>3078633155</v>
      </c>
      <c r="AG127" s="42"/>
      <c r="AH127" s="42"/>
      <c r="AI127" s="42"/>
      <c r="AJ127" s="42"/>
      <c r="AK127" s="42"/>
      <c r="AL127" s="42"/>
      <c r="AM127" s="42"/>
      <c r="AN127" s="42">
        <f>+'[1]OCTUBRE 2019'!$Q$187</f>
        <v>622482913</v>
      </c>
      <c r="AO127" s="42">
        <f>+'[3]NOVIEMBRE 2019'!$R$212</f>
        <v>387193274</v>
      </c>
      <c r="AP127" s="42">
        <f>+'[3]NOVIEMBRE 2019'!$S$212</f>
        <v>434633793</v>
      </c>
      <c r="AQ127" s="42">
        <f>+'[3]NOVIEMBRE 2019'!$T$212</f>
        <v>75512729</v>
      </c>
      <c r="AR127" s="42"/>
      <c r="AS127" s="42"/>
      <c r="AT127" s="42"/>
      <c r="AU127" s="42">
        <f>+'[1]OCTUBRE 2019'!$X$187</f>
        <v>172130178</v>
      </c>
      <c r="AV127" s="42">
        <f>+'[11]ABRIL 2019'!$X$73</f>
        <v>50000000</v>
      </c>
      <c r="AW127" s="42"/>
      <c r="AX127" s="42">
        <f>+'[2]SEPTIEMBRE 2019'!$AA$158</f>
        <v>744901055</v>
      </c>
      <c r="AY127" s="42"/>
      <c r="AZ127" s="42"/>
      <c r="BA127" s="42"/>
      <c r="BB127" s="42">
        <f>+'[8]AGOSTO 2019'!$AE$137</f>
        <v>123006604</v>
      </c>
      <c r="BC127" s="42">
        <f>+'[3]NOVIEMBRE 2019'!$AG$212</f>
        <v>468772609</v>
      </c>
      <c r="BD127" s="43">
        <f t="shared" si="60"/>
        <v>4.8662436742059945E-2</v>
      </c>
      <c r="BE127" s="42">
        <f t="shared" si="129"/>
        <v>157477006</v>
      </c>
      <c r="BF127" s="42">
        <f t="shared" si="130"/>
        <v>0</v>
      </c>
      <c r="BG127" s="42">
        <f t="shared" si="130"/>
        <v>0</v>
      </c>
      <c r="BH127" s="42">
        <f t="shared" si="130"/>
        <v>0</v>
      </c>
      <c r="BI127" s="42">
        <f t="shared" si="131"/>
        <v>0</v>
      </c>
      <c r="BJ127" s="42">
        <f t="shared" si="132"/>
        <v>0</v>
      </c>
      <c r="BK127" s="42">
        <f t="shared" si="132"/>
        <v>0</v>
      </c>
      <c r="BL127" s="42">
        <f t="shared" si="132"/>
        <v>0</v>
      </c>
      <c r="BM127" s="42">
        <f t="shared" si="132"/>
        <v>742764</v>
      </c>
      <c r="BN127" s="42">
        <f t="shared" si="132"/>
        <v>33437044</v>
      </c>
      <c r="BO127" s="42">
        <f t="shared" si="132"/>
        <v>166507</v>
      </c>
      <c r="BP127" s="42">
        <f t="shared" si="132"/>
        <v>55273766</v>
      </c>
      <c r="BQ127" s="42">
        <f t="shared" si="132"/>
        <v>0</v>
      </c>
      <c r="BR127" s="42">
        <f t="shared" si="132"/>
        <v>5000000</v>
      </c>
      <c r="BS127" s="42">
        <f t="shared" si="132"/>
        <v>0</v>
      </c>
      <c r="BT127" s="42">
        <f t="shared" si="132"/>
        <v>0</v>
      </c>
      <c r="BU127" s="42">
        <f t="shared" si="132"/>
        <v>0</v>
      </c>
      <c r="BV127" s="42">
        <f t="shared" si="132"/>
        <v>0</v>
      </c>
      <c r="BW127" s="42">
        <f t="shared" si="132"/>
        <v>5098945</v>
      </c>
      <c r="BX127" s="42">
        <f t="shared" si="132"/>
        <v>0</v>
      </c>
      <c r="BY127" s="42">
        <f t="shared" si="132"/>
        <v>0</v>
      </c>
      <c r="BZ127" s="42">
        <f t="shared" si="133"/>
        <v>0</v>
      </c>
      <c r="CA127" s="42">
        <f>AC127-BB127</f>
        <v>57656236</v>
      </c>
      <c r="CB127" s="42">
        <f t="shared" si="134"/>
        <v>101744</v>
      </c>
      <c r="CC127" s="43">
        <f t="shared" si="117"/>
        <v>0.90884688458539775</v>
      </c>
      <c r="CD127" s="42">
        <f t="shared" si="135"/>
        <v>2941128638</v>
      </c>
      <c r="CE127" s="42"/>
      <c r="CF127" s="42"/>
      <c r="CG127" s="42"/>
      <c r="CH127" s="42"/>
      <c r="CI127" s="42"/>
      <c r="CJ127" s="42"/>
      <c r="CK127" s="42"/>
      <c r="CL127" s="42">
        <f>+'[2]SEPTIEMBRE 2019'!$H$187+'[2]SEPTIEMBRE 2019'!$H$210+'[2]SEPTIEMBRE 2019'!$H$231</f>
        <v>622482913</v>
      </c>
      <c r="CM127" s="42">
        <f>+'[3]NOVIEMBRE 2019'!$H$222+'[3]NOVIEMBRE 2019'!$H$277+'[3]NOVIEMBRE 2019'!$H$280+'[3]NOVIEMBRE 2019'!$H$286+'[3]NOVIEMBRE 2019'!$H$309</f>
        <v>387193274</v>
      </c>
      <c r="CN127" s="42">
        <f>+'[3]NOVIEMBRE 2019'!$H$220+'[3]NOVIEMBRE 2019'!$H$283+'[3]NOVIEMBRE 2019'!$H$300+'[3]NOVIEMBRE 2019'!$H$312+'[3]NOVIEMBRE 2019'!$H$315</f>
        <v>434633793</v>
      </c>
      <c r="CO127" s="42">
        <f>+'[3]NOVIEMBRE 2019'!$H$224+'[3]NOVIEMBRE 2019'!$H$255+'[3]NOVIEMBRE 2019'!$H$306+'[3]NOVIEMBRE 2019'!$H$318</f>
        <v>75512729</v>
      </c>
      <c r="CP127" s="42"/>
      <c r="CQ127" s="42"/>
      <c r="CR127" s="42"/>
      <c r="CS127" s="42">
        <f>+'[3]NOVIEMBRE 2019'!$H$257+'[3]NOVIEMBRE 2019'!$H$303</f>
        <v>172130178</v>
      </c>
      <c r="CT127" s="42">
        <f>+'[3]NOVIEMBRE 2019'!$H$236</f>
        <v>29024945</v>
      </c>
      <c r="CU127" s="42"/>
      <c r="CV127" s="42">
        <f>+'[2]SEPTIEMBRE 2019'!$H$170+'[2]SEPTIEMBRE 2019'!$H$174+'[2]SEPTIEMBRE 2019'!$H$228</f>
        <v>744901055</v>
      </c>
      <c r="CW127" s="42"/>
      <c r="CX127" s="42"/>
      <c r="CY127" s="42"/>
      <c r="CZ127" s="42">
        <f>+'[3]NOVIEMBRE 2019'!$H$251+'[3]NOVIEMBRE 2019'!$H$261+'[3]NOVIEMBRE 2019'!$H$264+'[3]NOVIEMBRE 2019'!$H$274</f>
        <v>98343631</v>
      </c>
      <c r="DA127" s="42">
        <f>+'[3]NOVIEMBRE 2019'!$H$213+'[3]NOVIEMBRE 2019'!$H$217+'[3]NOVIEMBRE 2019'!$H$232+'[3]NOVIEMBRE 2019'!$H$242+'[3]NOVIEMBRE 2019'!$H$267+'[3]NOVIEMBRE 2019'!$H$294+'[3]NOVIEMBRE 2019'!$H$321+'[3]NOVIEMBRE 2019'!$H$324</f>
        <v>376906120</v>
      </c>
      <c r="DB127" s="43">
        <f t="shared" si="62"/>
        <v>9.1153115414602248E-2</v>
      </c>
      <c r="DC127" s="42">
        <f t="shared" si="136"/>
        <v>294981523</v>
      </c>
      <c r="DD127" s="42">
        <f t="shared" si="137"/>
        <v>0</v>
      </c>
      <c r="DE127" s="42">
        <f t="shared" si="137"/>
        <v>0</v>
      </c>
      <c r="DF127" s="42">
        <f t="shared" si="137"/>
        <v>0</v>
      </c>
      <c r="DG127" s="42">
        <f t="shared" si="138"/>
        <v>0</v>
      </c>
      <c r="DH127" s="42">
        <f t="shared" si="138"/>
        <v>0</v>
      </c>
      <c r="DI127" s="42">
        <f t="shared" si="138"/>
        <v>0</v>
      </c>
      <c r="DJ127" s="42">
        <f t="shared" si="138"/>
        <v>0</v>
      </c>
      <c r="DK127" s="42">
        <f t="shared" si="138"/>
        <v>742764</v>
      </c>
      <c r="DL127" s="42">
        <f t="shared" si="138"/>
        <v>33437044</v>
      </c>
      <c r="DM127" s="42">
        <f t="shared" si="138"/>
        <v>166507</v>
      </c>
      <c r="DN127" s="42">
        <f t="shared" si="138"/>
        <v>55273766</v>
      </c>
      <c r="DO127" s="42">
        <f t="shared" si="138"/>
        <v>0</v>
      </c>
      <c r="DP127" s="42">
        <f t="shared" si="138"/>
        <v>5000000</v>
      </c>
      <c r="DQ127" s="42">
        <f t="shared" si="138"/>
        <v>0</v>
      </c>
      <c r="DR127" s="42">
        <f t="shared" si="138"/>
        <v>0</v>
      </c>
      <c r="DS127" s="42">
        <f t="shared" si="138"/>
        <v>20975055</v>
      </c>
      <c r="DT127" s="42">
        <f t="shared" si="138"/>
        <v>0</v>
      </c>
      <c r="DU127" s="42">
        <f t="shared" si="138"/>
        <v>5098945</v>
      </c>
      <c r="DV127" s="42">
        <f t="shared" si="138"/>
        <v>0</v>
      </c>
      <c r="DW127" s="42">
        <f t="shared" si="139"/>
        <v>0</v>
      </c>
      <c r="DX127" s="42">
        <f t="shared" si="139"/>
        <v>0</v>
      </c>
      <c r="DY127" s="42">
        <f>AC127-CZ127</f>
        <v>82319209</v>
      </c>
      <c r="DZ127" s="42">
        <f t="shared" si="140"/>
        <v>91968233</v>
      </c>
      <c r="EB127" s="47">
        <f t="shared" si="63"/>
        <v>3236110161</v>
      </c>
      <c r="EC127" s="47">
        <f t="shared" si="64"/>
        <v>3236110161</v>
      </c>
      <c r="ED127" s="47">
        <f t="shared" si="65"/>
        <v>3236110161</v>
      </c>
      <c r="EF127" s="47"/>
      <c r="EH127" s="117"/>
      <c r="EI127" s="74">
        <f t="shared" si="87"/>
        <v>3236110161</v>
      </c>
      <c r="EJ127" s="74">
        <f t="shared" si="101"/>
        <v>2941128638</v>
      </c>
      <c r="EK127" s="241"/>
    </row>
    <row r="128" spans="1:141" s="117" customFormat="1" ht="39.6" hidden="1" customHeight="1" x14ac:dyDescent="0.3">
      <c r="A128" s="82"/>
      <c r="B128" s="148"/>
      <c r="C128" s="144" t="s">
        <v>360</v>
      </c>
      <c r="D128" s="50" t="s">
        <v>361</v>
      </c>
      <c r="E128" s="145">
        <v>211</v>
      </c>
      <c r="F128" s="41" t="s">
        <v>362</v>
      </c>
      <c r="G128" s="42">
        <f t="shared" si="127"/>
        <v>272255443</v>
      </c>
      <c r="H128" s="58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>
        <v>240806613</v>
      </c>
      <c r="Y128" s="42"/>
      <c r="Z128" s="42"/>
      <c r="AA128" s="42"/>
      <c r="AB128" s="42"/>
      <c r="AC128" s="42"/>
      <c r="AD128" s="42">
        <f>77448830-4000000-9000000-33000000</f>
        <v>31448830</v>
      </c>
      <c r="AE128" s="115">
        <f t="shared" si="88"/>
        <v>0.9634444149570226</v>
      </c>
      <c r="AF128" s="42">
        <f t="shared" si="128"/>
        <v>262302986</v>
      </c>
      <c r="AG128" s="116"/>
      <c r="AH128" s="116"/>
      <c r="AI128" s="116"/>
      <c r="AJ128" s="116"/>
      <c r="AK128" s="116"/>
      <c r="AL128" s="116"/>
      <c r="AM128" s="116"/>
      <c r="AN128" s="116"/>
      <c r="AO128" s="116"/>
      <c r="AP128" s="116"/>
      <c r="AQ128" s="116"/>
      <c r="AR128" s="116"/>
      <c r="AS128" s="116"/>
      <c r="AT128" s="116"/>
      <c r="AU128" s="116"/>
      <c r="AV128" s="116"/>
      <c r="AW128" s="116">
        <f>+'[3]NOVIEMBRE 2019'!$Z$336</f>
        <v>234395156</v>
      </c>
      <c r="AX128" s="116"/>
      <c r="AY128" s="116"/>
      <c r="AZ128" s="116"/>
      <c r="BA128" s="116"/>
      <c r="BB128" s="116"/>
      <c r="BC128" s="116">
        <f>+'[3]NOVIEMBRE 2019'!$AG$336</f>
        <v>27907830</v>
      </c>
      <c r="BD128" s="115">
        <f t="shared" si="60"/>
        <v>3.6555585042977401E-2</v>
      </c>
      <c r="BE128" s="42">
        <f t="shared" si="129"/>
        <v>9952457</v>
      </c>
      <c r="BF128" s="42">
        <f t="shared" si="130"/>
        <v>0</v>
      </c>
      <c r="BG128" s="42">
        <f t="shared" si="130"/>
        <v>0</v>
      </c>
      <c r="BH128" s="42">
        <f t="shared" si="130"/>
        <v>0</v>
      </c>
      <c r="BI128" s="42">
        <f t="shared" si="131"/>
        <v>0</v>
      </c>
      <c r="BJ128" s="42">
        <f t="shared" si="132"/>
        <v>0</v>
      </c>
      <c r="BK128" s="42">
        <f t="shared" si="132"/>
        <v>0</v>
      </c>
      <c r="BL128" s="42">
        <f t="shared" si="132"/>
        <v>0</v>
      </c>
      <c r="BM128" s="42">
        <f t="shared" si="132"/>
        <v>0</v>
      </c>
      <c r="BN128" s="42">
        <f t="shared" si="132"/>
        <v>0</v>
      </c>
      <c r="BO128" s="42">
        <f t="shared" si="132"/>
        <v>0</v>
      </c>
      <c r="BP128" s="42">
        <f t="shared" si="132"/>
        <v>0</v>
      </c>
      <c r="BQ128" s="42">
        <f t="shared" si="132"/>
        <v>0</v>
      </c>
      <c r="BR128" s="42">
        <f t="shared" si="132"/>
        <v>0</v>
      </c>
      <c r="BS128" s="42">
        <f t="shared" si="132"/>
        <v>0</v>
      </c>
      <c r="BT128" s="42">
        <f t="shared" si="132"/>
        <v>0</v>
      </c>
      <c r="BU128" s="42">
        <f t="shared" si="132"/>
        <v>0</v>
      </c>
      <c r="BV128" s="42">
        <f t="shared" si="132"/>
        <v>6411457</v>
      </c>
      <c r="BW128" s="42">
        <f t="shared" si="132"/>
        <v>0</v>
      </c>
      <c r="BX128" s="42">
        <f t="shared" si="132"/>
        <v>0</v>
      </c>
      <c r="BY128" s="42">
        <f t="shared" si="132"/>
        <v>0</v>
      </c>
      <c r="BZ128" s="42">
        <f t="shared" si="133"/>
        <v>0</v>
      </c>
      <c r="CA128" s="42"/>
      <c r="CB128" s="42">
        <f t="shared" si="134"/>
        <v>3541000</v>
      </c>
      <c r="CC128" s="115">
        <f t="shared" si="117"/>
        <v>0.9511951098072261</v>
      </c>
      <c r="CD128" s="42">
        <f t="shared" si="135"/>
        <v>258968046</v>
      </c>
      <c r="CE128" s="116"/>
      <c r="CF128" s="116"/>
      <c r="CG128" s="116"/>
      <c r="CH128" s="116"/>
      <c r="CI128" s="116"/>
      <c r="CJ128" s="116"/>
      <c r="CK128" s="116"/>
      <c r="CL128" s="116"/>
      <c r="CM128" s="116"/>
      <c r="CN128" s="116"/>
      <c r="CO128" s="116"/>
      <c r="CP128" s="116"/>
      <c r="CQ128" s="116"/>
      <c r="CR128" s="116"/>
      <c r="CS128" s="116"/>
      <c r="CT128" s="116"/>
      <c r="CU128" s="116">
        <f>+'[3]NOVIEMBRE 2019'!$H$338+'[3]NOVIEMBRE 2019'!$H$340+'[3]NOVIEMBRE 2019'!$H$343+'[3]NOVIEMBRE 2019'!$H$346+'[3]NOVIEMBRE 2019'!$H$349+'[3]NOVIEMBRE 2019'!$H$352+'[3]NOVIEMBRE 2019'!$H$355+'[3]NOVIEMBRE 2019'!$H$359+'[3]NOVIEMBRE 2019'!$H$361+'[3]NOVIEMBRE 2019'!$H$364+'[3]NOVIEMBRE 2019'!$H$368+'[3]NOVIEMBRE 2019'!$H$370+'[3]NOVIEMBRE 2019'!$H$373+'[3]NOVIEMBRE 2019'!$H$391</f>
        <v>233293216</v>
      </c>
      <c r="CV128" s="116"/>
      <c r="CW128" s="116"/>
      <c r="CX128" s="116"/>
      <c r="CY128" s="116"/>
      <c r="CZ128" s="116"/>
      <c r="DA128" s="116">
        <f>+'[3]NOVIEMBRE 2019'!$H$376+'[3]NOVIEMBRE 2019'!$H$381+'[3]NOVIEMBRE 2019'!$H$384+'[3]NOVIEMBRE 2019'!$H$387</f>
        <v>25674830</v>
      </c>
      <c r="DB128" s="115">
        <f t="shared" si="62"/>
        <v>4.8804890192773898E-2</v>
      </c>
      <c r="DC128" s="42">
        <f t="shared" si="136"/>
        <v>13287397</v>
      </c>
      <c r="DD128" s="42">
        <f t="shared" si="137"/>
        <v>0</v>
      </c>
      <c r="DE128" s="42">
        <f t="shared" si="137"/>
        <v>0</v>
      </c>
      <c r="DF128" s="42">
        <f t="shared" si="137"/>
        <v>0</v>
      </c>
      <c r="DG128" s="42">
        <f t="shared" si="138"/>
        <v>0</v>
      </c>
      <c r="DH128" s="42">
        <f t="shared" si="138"/>
        <v>0</v>
      </c>
      <c r="DI128" s="42">
        <f t="shared" si="138"/>
        <v>0</v>
      </c>
      <c r="DJ128" s="42">
        <f t="shared" si="138"/>
        <v>0</v>
      </c>
      <c r="DK128" s="42">
        <f t="shared" si="138"/>
        <v>0</v>
      </c>
      <c r="DL128" s="42">
        <f t="shared" si="138"/>
        <v>0</v>
      </c>
      <c r="DM128" s="42">
        <f t="shared" si="138"/>
        <v>0</v>
      </c>
      <c r="DN128" s="42">
        <f t="shared" si="138"/>
        <v>0</v>
      </c>
      <c r="DO128" s="42">
        <f t="shared" si="138"/>
        <v>0</v>
      </c>
      <c r="DP128" s="42">
        <f t="shared" si="138"/>
        <v>0</v>
      </c>
      <c r="DQ128" s="42">
        <f t="shared" si="138"/>
        <v>0</v>
      </c>
      <c r="DR128" s="42">
        <f t="shared" si="138"/>
        <v>0</v>
      </c>
      <c r="DS128" s="42">
        <f t="shared" si="138"/>
        <v>0</v>
      </c>
      <c r="DT128" s="42">
        <f t="shared" si="138"/>
        <v>7513397</v>
      </c>
      <c r="DU128" s="42">
        <f t="shared" si="138"/>
        <v>0</v>
      </c>
      <c r="DV128" s="42">
        <f t="shared" si="138"/>
        <v>0</v>
      </c>
      <c r="DW128" s="42">
        <f t="shared" si="139"/>
        <v>0</v>
      </c>
      <c r="DX128" s="42">
        <f t="shared" si="139"/>
        <v>0</v>
      </c>
      <c r="DY128" s="42"/>
      <c r="DZ128" s="42">
        <f t="shared" si="140"/>
        <v>5774000</v>
      </c>
      <c r="EB128" s="47">
        <f t="shared" si="63"/>
        <v>272255443</v>
      </c>
      <c r="EC128" s="47">
        <f t="shared" si="64"/>
        <v>272255443</v>
      </c>
      <c r="ED128" s="47">
        <f t="shared" si="65"/>
        <v>272255443</v>
      </c>
      <c r="EF128" s="47"/>
      <c r="EH128"/>
      <c r="EI128" s="74">
        <f t="shared" si="87"/>
        <v>272255443</v>
      </c>
      <c r="EJ128" s="74">
        <f t="shared" si="101"/>
        <v>258968046</v>
      </c>
      <c r="EK128" s="241"/>
    </row>
    <row r="129" spans="1:141" ht="24" hidden="1" customHeight="1" x14ac:dyDescent="0.3">
      <c r="A129" s="82"/>
      <c r="B129" s="148"/>
      <c r="C129" s="78" t="s">
        <v>363</v>
      </c>
      <c r="D129" s="39" t="s">
        <v>364</v>
      </c>
      <c r="E129" s="142">
        <v>211</v>
      </c>
      <c r="F129" s="41" t="s">
        <v>365</v>
      </c>
      <c r="G129" s="42">
        <f t="shared" si="127"/>
        <v>377500000</v>
      </c>
      <c r="H129" s="58"/>
      <c r="I129" s="42"/>
      <c r="J129" s="42"/>
      <c r="K129" s="42"/>
      <c r="L129" s="42"/>
      <c r="M129" s="42"/>
      <c r="N129" s="42"/>
      <c r="O129" s="42">
        <v>343000000</v>
      </c>
      <c r="P129" s="42"/>
      <c r="Q129" s="42"/>
      <c r="R129" s="42"/>
      <c r="S129" s="42"/>
      <c r="T129" s="42"/>
      <c r="U129" s="42">
        <f>25000000+5000000</f>
        <v>30000000</v>
      </c>
      <c r="V129" s="42"/>
      <c r="W129" s="42"/>
      <c r="X129" s="42"/>
      <c r="Y129" s="42"/>
      <c r="Z129" s="42"/>
      <c r="AA129" s="42"/>
      <c r="AB129" s="42"/>
      <c r="AC129" s="42"/>
      <c r="AD129" s="42">
        <f>4500000</f>
        <v>4500000</v>
      </c>
      <c r="AE129" s="43">
        <f t="shared" si="88"/>
        <v>0.81706784900662255</v>
      </c>
      <c r="AF129" s="42">
        <f t="shared" si="128"/>
        <v>308443113</v>
      </c>
      <c r="AG129" s="42"/>
      <c r="AH129" s="42"/>
      <c r="AI129" s="42"/>
      <c r="AJ129" s="42"/>
      <c r="AK129" s="42"/>
      <c r="AL129" s="42"/>
      <c r="AM129" s="42"/>
      <c r="AN129" s="42">
        <f>+'[3]NOVIEMBRE 2019'!$H$404+'[3]NOVIEMBRE 2019'!$H$406+'[3]NOVIEMBRE 2019'!$H$408+'[3]NOVIEMBRE 2019'!$H$411+'[3]NOVIEMBRE 2019'!$H$416+'[3]NOVIEMBRE 2019'!$H$419+'[3]NOVIEMBRE 2019'!$H$422</f>
        <v>275097297</v>
      </c>
      <c r="AO129" s="42"/>
      <c r="AP129" s="42"/>
      <c r="AQ129" s="42"/>
      <c r="AR129" s="42"/>
      <c r="AS129" s="42"/>
      <c r="AT129" s="42">
        <f>+'[3]NOVIEMBRE 2019'!$W$401</f>
        <v>28845816</v>
      </c>
      <c r="AU129" s="42"/>
      <c r="AV129" s="42"/>
      <c r="AW129" s="42"/>
      <c r="AX129" s="42"/>
      <c r="AY129" s="42"/>
      <c r="AZ129" s="42"/>
      <c r="BA129" s="42"/>
      <c r="BB129" s="42"/>
      <c r="BC129" s="116">
        <f>+'[7]MAYO 2019'!$AF$125</f>
        <v>4500000</v>
      </c>
      <c r="BD129" s="43">
        <f t="shared" si="60"/>
        <v>0.18293215099337745</v>
      </c>
      <c r="BE129" s="42">
        <f t="shared" si="129"/>
        <v>69056887</v>
      </c>
      <c r="BF129" s="42">
        <f t="shared" si="130"/>
        <v>0</v>
      </c>
      <c r="BG129" s="42">
        <f t="shared" si="130"/>
        <v>0</v>
      </c>
      <c r="BH129" s="42">
        <f t="shared" si="130"/>
        <v>0</v>
      </c>
      <c r="BI129" s="42">
        <f t="shared" si="131"/>
        <v>0</v>
      </c>
      <c r="BJ129" s="42">
        <f t="shared" si="132"/>
        <v>0</v>
      </c>
      <c r="BK129" s="42">
        <f t="shared" si="132"/>
        <v>0</v>
      </c>
      <c r="BL129" s="42">
        <f t="shared" si="132"/>
        <v>0</v>
      </c>
      <c r="BM129" s="42">
        <f t="shared" si="132"/>
        <v>67902703</v>
      </c>
      <c r="BN129" s="42">
        <f t="shared" si="132"/>
        <v>0</v>
      </c>
      <c r="BO129" s="42">
        <f t="shared" si="132"/>
        <v>0</v>
      </c>
      <c r="BP129" s="42">
        <f t="shared" si="132"/>
        <v>0</v>
      </c>
      <c r="BQ129" s="42">
        <f t="shared" si="132"/>
        <v>0</v>
      </c>
      <c r="BR129" s="42">
        <f t="shared" si="132"/>
        <v>0</v>
      </c>
      <c r="BS129" s="42">
        <f t="shared" si="132"/>
        <v>1154184</v>
      </c>
      <c r="BT129" s="42">
        <f t="shared" si="132"/>
        <v>0</v>
      </c>
      <c r="BU129" s="42">
        <f t="shared" si="132"/>
        <v>0</v>
      </c>
      <c r="BV129" s="42">
        <f t="shared" si="132"/>
        <v>0</v>
      </c>
      <c r="BW129" s="42">
        <f t="shared" si="132"/>
        <v>0</v>
      </c>
      <c r="BX129" s="42">
        <f t="shared" si="132"/>
        <v>0</v>
      </c>
      <c r="BY129" s="42">
        <f t="shared" si="132"/>
        <v>0</v>
      </c>
      <c r="BZ129" s="42">
        <f t="shared" si="133"/>
        <v>0</v>
      </c>
      <c r="CA129" s="42"/>
      <c r="CB129" s="42">
        <f t="shared" si="134"/>
        <v>0</v>
      </c>
      <c r="CC129" s="43">
        <f t="shared" si="117"/>
        <v>0.72947628344370863</v>
      </c>
      <c r="CD129" s="42">
        <f t="shared" si="135"/>
        <v>275377297</v>
      </c>
      <c r="CE129" s="42"/>
      <c r="CF129" s="42"/>
      <c r="CG129" s="42"/>
      <c r="CH129" s="42"/>
      <c r="CI129" s="42"/>
      <c r="CJ129" s="42"/>
      <c r="CK129" s="42"/>
      <c r="CL129" s="42">
        <f>+'[3]NOVIEMBRE 2019'!$H$404+'[3]NOVIEMBRE 2019'!$H$406+'[3]NOVIEMBRE 2019'!$H$408+'[3]NOVIEMBRE 2019'!$H$411+'[3]NOVIEMBRE 2019'!$H$416+'[3]NOVIEMBRE 2019'!$H$419+'[3]NOVIEMBRE 2019'!$H$422</f>
        <v>275097297</v>
      </c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>
        <f>+'[7]MAYO 2019'!$H$126</f>
        <v>280000</v>
      </c>
      <c r="DB129" s="43">
        <f t="shared" si="62"/>
        <v>0.27052371655629137</v>
      </c>
      <c r="DC129" s="42">
        <f t="shared" si="136"/>
        <v>102122703</v>
      </c>
      <c r="DD129" s="42">
        <f t="shared" si="137"/>
        <v>0</v>
      </c>
      <c r="DE129" s="42">
        <f t="shared" si="137"/>
        <v>0</v>
      </c>
      <c r="DF129" s="42">
        <f t="shared" si="137"/>
        <v>0</v>
      </c>
      <c r="DG129" s="42">
        <f t="shared" si="138"/>
        <v>0</v>
      </c>
      <c r="DH129" s="42">
        <f t="shared" si="138"/>
        <v>0</v>
      </c>
      <c r="DI129" s="42">
        <f t="shared" si="138"/>
        <v>0</v>
      </c>
      <c r="DJ129" s="42">
        <f t="shared" si="138"/>
        <v>0</v>
      </c>
      <c r="DK129" s="42">
        <f t="shared" si="138"/>
        <v>67902703</v>
      </c>
      <c r="DL129" s="42">
        <f t="shared" si="138"/>
        <v>0</v>
      </c>
      <c r="DM129" s="42">
        <f t="shared" si="138"/>
        <v>0</v>
      </c>
      <c r="DN129" s="42">
        <f t="shared" si="138"/>
        <v>0</v>
      </c>
      <c r="DO129" s="42">
        <f t="shared" si="138"/>
        <v>0</v>
      </c>
      <c r="DP129" s="42">
        <f t="shared" si="138"/>
        <v>0</v>
      </c>
      <c r="DQ129" s="42">
        <f t="shared" si="138"/>
        <v>30000000</v>
      </c>
      <c r="DR129" s="42">
        <f t="shared" si="138"/>
        <v>0</v>
      </c>
      <c r="DS129" s="42">
        <f t="shared" si="138"/>
        <v>0</v>
      </c>
      <c r="DT129" s="42">
        <f t="shared" si="138"/>
        <v>0</v>
      </c>
      <c r="DU129" s="42">
        <f t="shared" si="138"/>
        <v>0</v>
      </c>
      <c r="DV129" s="42">
        <f t="shared" si="138"/>
        <v>0</v>
      </c>
      <c r="DW129" s="42">
        <f t="shared" si="139"/>
        <v>0</v>
      </c>
      <c r="DX129" s="42">
        <f t="shared" si="139"/>
        <v>0</v>
      </c>
      <c r="DY129" s="42"/>
      <c r="DZ129" s="42">
        <f t="shared" si="140"/>
        <v>4220000</v>
      </c>
      <c r="EB129" s="47">
        <f t="shared" si="63"/>
        <v>377500000</v>
      </c>
      <c r="EC129" s="47">
        <f t="shared" si="64"/>
        <v>377500000</v>
      </c>
      <c r="ED129" s="47">
        <f t="shared" si="65"/>
        <v>377500000</v>
      </c>
      <c r="EI129" s="74">
        <f t="shared" si="87"/>
        <v>377500000</v>
      </c>
      <c r="EJ129" s="74">
        <f t="shared" si="101"/>
        <v>275377297</v>
      </c>
      <c r="EK129" s="241"/>
    </row>
    <row r="130" spans="1:141" ht="30.6" hidden="1" customHeight="1" x14ac:dyDescent="0.3">
      <c r="A130" s="82"/>
      <c r="B130" s="148"/>
      <c r="C130" s="78" t="s">
        <v>366</v>
      </c>
      <c r="D130" s="39" t="s">
        <v>367</v>
      </c>
      <c r="E130" s="142">
        <v>211</v>
      </c>
      <c r="F130" s="41" t="s">
        <v>302</v>
      </c>
      <c r="G130" s="42">
        <f t="shared" si="127"/>
        <v>638119041</v>
      </c>
      <c r="H130" s="58"/>
      <c r="I130" s="42">
        <v>258340125</v>
      </c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>
        <v>107000000</v>
      </c>
      <c r="Y130" s="42">
        <v>62600000</v>
      </c>
      <c r="Z130" s="42">
        <f>108178916+102000000</f>
        <v>210178916</v>
      </c>
      <c r="AA130" s="42"/>
      <c r="AB130" s="42"/>
      <c r="AC130" s="42"/>
      <c r="AD130" s="42"/>
      <c r="AE130" s="43">
        <f t="shared" si="88"/>
        <v>0.99303411947552278</v>
      </c>
      <c r="AF130" s="42">
        <f t="shared" si="128"/>
        <v>633673980</v>
      </c>
      <c r="AG130" s="42"/>
      <c r="AH130" s="42">
        <f>+'[10]ENERO 2019'!$K$70</f>
        <v>258340125</v>
      </c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>
        <f>+'[3]NOVIEMBRE 2019'!$Z$428</f>
        <v>106782598</v>
      </c>
      <c r="AX130" s="42">
        <f>+'[3]NOVIEMBRE 2019'!$AA$428</f>
        <v>58374008</v>
      </c>
      <c r="AY130" s="42">
        <f>+'[3]NOVIEMBRE 2019'!$AB$428</f>
        <v>210177249</v>
      </c>
      <c r="AZ130" s="42"/>
      <c r="BA130" s="42"/>
      <c r="BB130" s="42"/>
      <c r="BC130" s="42"/>
      <c r="BD130" s="43">
        <f t="shared" si="60"/>
        <v>6.9658805244772193E-3</v>
      </c>
      <c r="BE130" s="42">
        <f t="shared" si="129"/>
        <v>4445061</v>
      </c>
      <c r="BF130" s="42">
        <f t="shared" si="130"/>
        <v>0</v>
      </c>
      <c r="BG130" s="42">
        <f t="shared" si="130"/>
        <v>0</v>
      </c>
      <c r="BH130" s="42">
        <f t="shared" si="130"/>
        <v>0</v>
      </c>
      <c r="BI130" s="42">
        <f t="shared" si="131"/>
        <v>0</v>
      </c>
      <c r="BJ130" s="42">
        <f t="shared" si="132"/>
        <v>0</v>
      </c>
      <c r="BK130" s="42">
        <f t="shared" si="132"/>
        <v>0</v>
      </c>
      <c r="BL130" s="42">
        <f t="shared" si="132"/>
        <v>0</v>
      </c>
      <c r="BM130" s="42">
        <f t="shared" si="132"/>
        <v>0</v>
      </c>
      <c r="BN130" s="42">
        <f t="shared" si="132"/>
        <v>0</v>
      </c>
      <c r="BO130" s="42">
        <f t="shared" si="132"/>
        <v>0</v>
      </c>
      <c r="BP130" s="42">
        <f t="shared" si="132"/>
        <v>0</v>
      </c>
      <c r="BQ130" s="42">
        <f t="shared" si="132"/>
        <v>0</v>
      </c>
      <c r="BR130" s="42">
        <f t="shared" si="132"/>
        <v>0</v>
      </c>
      <c r="BS130" s="42">
        <f t="shared" si="132"/>
        <v>0</v>
      </c>
      <c r="BT130" s="42">
        <f t="shared" si="132"/>
        <v>0</v>
      </c>
      <c r="BU130" s="42">
        <f t="shared" si="132"/>
        <v>0</v>
      </c>
      <c r="BV130" s="42">
        <f t="shared" si="132"/>
        <v>217402</v>
      </c>
      <c r="BW130" s="42">
        <f t="shared" si="132"/>
        <v>4225992</v>
      </c>
      <c r="BX130" s="42">
        <f t="shared" si="132"/>
        <v>1667</v>
      </c>
      <c r="BY130" s="42">
        <f t="shared" si="132"/>
        <v>0</v>
      </c>
      <c r="BZ130" s="42">
        <f t="shared" si="133"/>
        <v>0</v>
      </c>
      <c r="CA130" s="42"/>
      <c r="CB130" s="42">
        <f t="shared" si="134"/>
        <v>0</v>
      </c>
      <c r="CC130" s="43">
        <f t="shared" si="117"/>
        <v>0.99073216967365185</v>
      </c>
      <c r="CD130" s="42">
        <f t="shared" si="135"/>
        <v>632205062</v>
      </c>
      <c r="CE130" s="42"/>
      <c r="CF130" s="42">
        <f>+'[1]OCTUBRE 2019'!$H$379</f>
        <v>258340123</v>
      </c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>
        <f>+'[2]SEPTIEMBRE 2019'!$H$355+'[2]SEPTIEMBRE 2019'!$H$361+'[2]SEPTIEMBRE 2019'!$H$366+'[2]SEPTIEMBRE 2019'!$Z$370</f>
        <v>106782598</v>
      </c>
      <c r="CV130" s="42">
        <v>58374008</v>
      </c>
      <c r="CW130" s="42">
        <f>+'[3]NOVIEMBRE 2019'!$H$499+'[3]NOVIEMBRE 2019'!$H$523</f>
        <v>208708333</v>
      </c>
      <c r="CX130" s="42"/>
      <c r="CY130" s="42"/>
      <c r="CZ130" s="42"/>
      <c r="DA130" s="42"/>
      <c r="DB130" s="43">
        <f t="shared" si="62"/>
        <v>9.2678303263481476E-3</v>
      </c>
      <c r="DC130" s="42">
        <f t="shared" si="136"/>
        <v>5913979</v>
      </c>
      <c r="DD130" s="42">
        <f t="shared" si="137"/>
        <v>0</v>
      </c>
      <c r="DE130" s="42">
        <f t="shared" si="137"/>
        <v>2</v>
      </c>
      <c r="DF130" s="42">
        <f t="shared" si="137"/>
        <v>0</v>
      </c>
      <c r="DG130" s="42">
        <f t="shared" si="138"/>
        <v>0</v>
      </c>
      <c r="DH130" s="42">
        <f t="shared" si="138"/>
        <v>0</v>
      </c>
      <c r="DI130" s="42">
        <f t="shared" si="138"/>
        <v>0</v>
      </c>
      <c r="DJ130" s="42">
        <f t="shared" si="138"/>
        <v>0</v>
      </c>
      <c r="DK130" s="42">
        <f t="shared" si="138"/>
        <v>0</v>
      </c>
      <c r="DL130" s="42">
        <f t="shared" si="138"/>
        <v>0</v>
      </c>
      <c r="DM130" s="42">
        <f t="shared" si="138"/>
        <v>0</v>
      </c>
      <c r="DN130" s="42">
        <f t="shared" si="138"/>
        <v>0</v>
      </c>
      <c r="DO130" s="42">
        <f t="shared" si="138"/>
        <v>0</v>
      </c>
      <c r="DP130" s="42">
        <f t="shared" si="138"/>
        <v>0</v>
      </c>
      <c r="DQ130" s="42">
        <f t="shared" si="138"/>
        <v>0</v>
      </c>
      <c r="DR130" s="42">
        <f t="shared" si="138"/>
        <v>0</v>
      </c>
      <c r="DS130" s="42">
        <f t="shared" si="138"/>
        <v>0</v>
      </c>
      <c r="DT130" s="42">
        <f t="shared" si="138"/>
        <v>217402</v>
      </c>
      <c r="DU130" s="42">
        <f t="shared" si="138"/>
        <v>4225992</v>
      </c>
      <c r="DV130" s="42">
        <f t="shared" si="138"/>
        <v>1470583</v>
      </c>
      <c r="DW130" s="42">
        <f t="shared" si="139"/>
        <v>0</v>
      </c>
      <c r="DX130" s="42">
        <f t="shared" si="139"/>
        <v>0</v>
      </c>
      <c r="DY130" s="42"/>
      <c r="DZ130" s="42">
        <f t="shared" si="140"/>
        <v>0</v>
      </c>
      <c r="EB130" s="47">
        <f t="shared" si="63"/>
        <v>638119041</v>
      </c>
      <c r="EC130" s="47">
        <f t="shared" si="64"/>
        <v>638119041</v>
      </c>
      <c r="ED130" s="47">
        <f t="shared" si="65"/>
        <v>638119041</v>
      </c>
      <c r="EI130" s="74">
        <f t="shared" si="87"/>
        <v>638119041</v>
      </c>
      <c r="EJ130" s="74">
        <f t="shared" si="101"/>
        <v>632205062</v>
      </c>
      <c r="EK130" s="241"/>
    </row>
    <row r="131" spans="1:141" ht="57.6" hidden="1" customHeight="1" x14ac:dyDescent="0.3">
      <c r="A131" s="82"/>
      <c r="B131" s="149"/>
      <c r="C131" s="78" t="s">
        <v>368</v>
      </c>
      <c r="D131" s="39" t="s">
        <v>369</v>
      </c>
      <c r="E131" s="142">
        <v>211</v>
      </c>
      <c r="F131" s="41" t="s">
        <v>302</v>
      </c>
      <c r="G131" s="42">
        <f t="shared" si="127"/>
        <v>5000000</v>
      </c>
      <c r="H131" s="58"/>
      <c r="I131" s="42">
        <v>5000000</v>
      </c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3">
        <f t="shared" si="88"/>
        <v>0</v>
      </c>
      <c r="AF131" s="42">
        <f t="shared" si="128"/>
        <v>0</v>
      </c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3">
        <f t="shared" si="60"/>
        <v>1</v>
      </c>
      <c r="BE131" s="42">
        <f t="shared" si="129"/>
        <v>5000000</v>
      </c>
      <c r="BF131" s="42">
        <f t="shared" si="130"/>
        <v>0</v>
      </c>
      <c r="BG131" s="42">
        <f t="shared" si="130"/>
        <v>5000000</v>
      </c>
      <c r="BH131" s="42">
        <f t="shared" si="130"/>
        <v>0</v>
      </c>
      <c r="BI131" s="42">
        <f t="shared" si="131"/>
        <v>0</v>
      </c>
      <c r="BJ131" s="42">
        <f t="shared" si="132"/>
        <v>0</v>
      </c>
      <c r="BK131" s="42">
        <f t="shared" si="132"/>
        <v>0</v>
      </c>
      <c r="BL131" s="42">
        <f t="shared" si="132"/>
        <v>0</v>
      </c>
      <c r="BM131" s="42">
        <f t="shared" si="132"/>
        <v>0</v>
      </c>
      <c r="BN131" s="42">
        <f t="shared" si="132"/>
        <v>0</v>
      </c>
      <c r="BO131" s="42">
        <f t="shared" si="132"/>
        <v>0</v>
      </c>
      <c r="BP131" s="42">
        <f t="shared" si="132"/>
        <v>0</v>
      </c>
      <c r="BQ131" s="42">
        <f t="shared" si="132"/>
        <v>0</v>
      </c>
      <c r="BR131" s="42">
        <f t="shared" si="132"/>
        <v>0</v>
      </c>
      <c r="BS131" s="42">
        <f t="shared" si="132"/>
        <v>0</v>
      </c>
      <c r="BT131" s="42">
        <f t="shared" si="132"/>
        <v>0</v>
      </c>
      <c r="BU131" s="42">
        <f t="shared" si="132"/>
        <v>0</v>
      </c>
      <c r="BV131" s="42">
        <f t="shared" si="132"/>
        <v>0</v>
      </c>
      <c r="BW131" s="42">
        <f t="shared" si="132"/>
        <v>0</v>
      </c>
      <c r="BX131" s="42">
        <f t="shared" si="132"/>
        <v>0</v>
      </c>
      <c r="BY131" s="42">
        <f t="shared" si="132"/>
        <v>0</v>
      </c>
      <c r="BZ131" s="42">
        <f t="shared" si="133"/>
        <v>0</v>
      </c>
      <c r="CA131" s="42"/>
      <c r="CB131" s="42">
        <f t="shared" si="134"/>
        <v>0</v>
      </c>
      <c r="CC131" s="43">
        <f t="shared" si="117"/>
        <v>0</v>
      </c>
      <c r="CD131" s="42">
        <f t="shared" si="135"/>
        <v>0</v>
      </c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3">
        <f t="shared" si="62"/>
        <v>1</v>
      </c>
      <c r="DC131" s="42">
        <f t="shared" si="136"/>
        <v>5000000</v>
      </c>
      <c r="DD131" s="42">
        <f t="shared" si="137"/>
        <v>0</v>
      </c>
      <c r="DE131" s="42">
        <f t="shared" si="137"/>
        <v>5000000</v>
      </c>
      <c r="DF131" s="42">
        <f t="shared" si="137"/>
        <v>0</v>
      </c>
      <c r="DG131" s="42">
        <f t="shared" si="138"/>
        <v>0</v>
      </c>
      <c r="DH131" s="42">
        <f t="shared" si="138"/>
        <v>0</v>
      </c>
      <c r="DI131" s="42">
        <f t="shared" si="138"/>
        <v>0</v>
      </c>
      <c r="DJ131" s="42">
        <f t="shared" si="138"/>
        <v>0</v>
      </c>
      <c r="DK131" s="42">
        <f t="shared" si="138"/>
        <v>0</v>
      </c>
      <c r="DL131" s="42">
        <f t="shared" si="138"/>
        <v>0</v>
      </c>
      <c r="DM131" s="42">
        <f t="shared" si="138"/>
        <v>0</v>
      </c>
      <c r="DN131" s="42">
        <f t="shared" si="138"/>
        <v>0</v>
      </c>
      <c r="DO131" s="42">
        <f t="shared" si="138"/>
        <v>0</v>
      </c>
      <c r="DP131" s="42">
        <f t="shared" si="138"/>
        <v>0</v>
      </c>
      <c r="DQ131" s="42">
        <f t="shared" si="138"/>
        <v>0</v>
      </c>
      <c r="DR131" s="42">
        <f t="shared" si="138"/>
        <v>0</v>
      </c>
      <c r="DS131" s="42">
        <f t="shared" si="138"/>
        <v>0</v>
      </c>
      <c r="DT131" s="42">
        <f t="shared" si="138"/>
        <v>0</v>
      </c>
      <c r="DU131" s="42">
        <f t="shared" si="138"/>
        <v>0</v>
      </c>
      <c r="DV131" s="42">
        <f t="shared" si="138"/>
        <v>0</v>
      </c>
      <c r="DW131" s="42">
        <f t="shared" si="139"/>
        <v>0</v>
      </c>
      <c r="DX131" s="42">
        <f t="shared" si="139"/>
        <v>0</v>
      </c>
      <c r="DY131" s="42"/>
      <c r="DZ131" s="42">
        <f t="shared" si="140"/>
        <v>0</v>
      </c>
      <c r="EB131" s="47">
        <f t="shared" si="63"/>
        <v>5000000</v>
      </c>
      <c r="EC131" s="47">
        <f t="shared" si="64"/>
        <v>5000000</v>
      </c>
      <c r="ED131" s="47">
        <f t="shared" si="65"/>
        <v>5000000</v>
      </c>
      <c r="EI131" s="74">
        <f t="shared" si="87"/>
        <v>5000000</v>
      </c>
      <c r="EJ131" s="74">
        <f t="shared" si="101"/>
        <v>0</v>
      </c>
      <c r="EK131" s="241"/>
    </row>
    <row r="132" spans="1:141" ht="19.2" hidden="1" customHeight="1" x14ac:dyDescent="0.3">
      <c r="A132" s="88"/>
      <c r="B132" s="150"/>
      <c r="C132" s="78" t="s">
        <v>370</v>
      </c>
      <c r="D132" s="39" t="s">
        <v>371</v>
      </c>
      <c r="E132" s="142">
        <v>211</v>
      </c>
      <c r="F132" s="41" t="s">
        <v>302</v>
      </c>
      <c r="G132" s="42">
        <f t="shared" si="127"/>
        <v>560000000</v>
      </c>
      <c r="H132" s="58"/>
      <c r="I132" s="42"/>
      <c r="J132" s="42"/>
      <c r="K132" s="42">
        <v>560000000</v>
      </c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3">
        <f t="shared" si="88"/>
        <v>1</v>
      </c>
      <c r="AF132" s="42">
        <f t="shared" si="128"/>
        <v>560000000</v>
      </c>
      <c r="AG132" s="42"/>
      <c r="AH132" s="42"/>
      <c r="AI132" s="42"/>
      <c r="AJ132" s="42">
        <f>+'[1]OCTUBRE 2019'!$L$484</f>
        <v>560000000</v>
      </c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3">
        <f t="shared" si="60"/>
        <v>0</v>
      </c>
      <c r="BE132" s="42">
        <f t="shared" si="129"/>
        <v>0</v>
      </c>
      <c r="BF132" s="42"/>
      <c r="BG132" s="42"/>
      <c r="BH132" s="42"/>
      <c r="BI132" s="42">
        <f t="shared" si="131"/>
        <v>0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3">
        <f t="shared" si="117"/>
        <v>0.94131758750000005</v>
      </c>
      <c r="CD132" s="42">
        <f t="shared" si="135"/>
        <v>527137849</v>
      </c>
      <c r="CE132" s="42"/>
      <c r="CF132" s="42"/>
      <c r="CG132" s="42"/>
      <c r="CH132" s="42">
        <f>+'[3]NOVIEMBRE 2019'!$H$555</f>
        <v>527137849</v>
      </c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3">
        <f t="shared" si="62"/>
        <v>5.8682412499999947E-2</v>
      </c>
      <c r="DC132" s="42">
        <f t="shared" si="136"/>
        <v>32862151</v>
      </c>
      <c r="DD132" s="42"/>
      <c r="DE132" s="42"/>
      <c r="DF132" s="42"/>
      <c r="DG132" s="42">
        <f t="shared" si="138"/>
        <v>32862151</v>
      </c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B132" s="47">
        <f t="shared" si="63"/>
        <v>560000000</v>
      </c>
      <c r="EC132" s="47">
        <f t="shared" si="64"/>
        <v>560000000</v>
      </c>
      <c r="ED132" s="47">
        <f t="shared" si="65"/>
        <v>560000000</v>
      </c>
      <c r="EI132" s="74">
        <f t="shared" si="87"/>
        <v>560000000</v>
      </c>
      <c r="EJ132" s="74">
        <f t="shared" si="101"/>
        <v>527137849</v>
      </c>
      <c r="EK132" s="241"/>
    </row>
    <row r="133" spans="1:141" ht="23.4" hidden="1" customHeight="1" x14ac:dyDescent="0.3">
      <c r="A133" s="88"/>
      <c r="B133" s="150"/>
      <c r="C133" s="78" t="s">
        <v>372</v>
      </c>
      <c r="D133" s="39" t="s">
        <v>373</v>
      </c>
      <c r="E133" s="142">
        <v>211</v>
      </c>
      <c r="F133" s="41" t="s">
        <v>302</v>
      </c>
      <c r="G133" s="42">
        <f t="shared" si="127"/>
        <v>656000000</v>
      </c>
      <c r="H133" s="58"/>
      <c r="I133" s="42"/>
      <c r="J133" s="42"/>
      <c r="K133" s="42">
        <v>656000000</v>
      </c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3">
        <f t="shared" si="88"/>
        <v>1</v>
      </c>
      <c r="AF133" s="42">
        <f t="shared" si="128"/>
        <v>656000000</v>
      </c>
      <c r="AG133" s="42"/>
      <c r="AH133" s="42"/>
      <c r="AI133" s="42"/>
      <c r="AJ133" s="42">
        <f>+'[1]OCTUBRE 2019'!$L$491</f>
        <v>656000000</v>
      </c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3">
        <f t="shared" ref="BD133:BD143" si="141">1-AE133</f>
        <v>0</v>
      </c>
      <c r="BE133" s="42">
        <f t="shared" si="129"/>
        <v>0</v>
      </c>
      <c r="BF133" s="42"/>
      <c r="BG133" s="42"/>
      <c r="BH133" s="42"/>
      <c r="BI133" s="42">
        <f t="shared" si="131"/>
        <v>0</v>
      </c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3">
        <f t="shared" si="117"/>
        <v>0.51496156554878048</v>
      </c>
      <c r="CD133" s="42">
        <f t="shared" si="135"/>
        <v>337814787</v>
      </c>
      <c r="CE133" s="42"/>
      <c r="CF133" s="42"/>
      <c r="CG133" s="42"/>
      <c r="CH133" s="42">
        <f>+'[3]NOVIEMBRE 2019'!$H$559</f>
        <v>337814787</v>
      </c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3">
        <f t="shared" ref="DB133:DB143" si="142">1-CC133</f>
        <v>0.48503843445121952</v>
      </c>
      <c r="DC133" s="42">
        <f t="shared" si="136"/>
        <v>318185213</v>
      </c>
      <c r="DD133" s="42"/>
      <c r="DE133" s="42"/>
      <c r="DF133" s="42"/>
      <c r="DG133" s="42">
        <f t="shared" si="138"/>
        <v>318185213</v>
      </c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  <c r="DW133" s="42"/>
      <c r="DX133" s="42"/>
      <c r="DY133" s="42"/>
      <c r="DZ133" s="42"/>
      <c r="EB133" s="47">
        <f t="shared" ref="EB133:EB143" si="143">+G133</f>
        <v>656000000</v>
      </c>
      <c r="EC133" s="47">
        <f t="shared" ref="EC133:EC143" si="144">+AF133+BE133</f>
        <v>656000000</v>
      </c>
      <c r="ED133" s="47">
        <f t="shared" ref="ED133:ED143" si="145">+CD133+DC133</f>
        <v>656000000</v>
      </c>
      <c r="EI133" s="74">
        <f t="shared" si="87"/>
        <v>656000000</v>
      </c>
      <c r="EJ133" s="74">
        <f t="shared" si="101"/>
        <v>337814787</v>
      </c>
      <c r="EK133" s="241"/>
    </row>
    <row r="134" spans="1:141" ht="27.6" hidden="1" customHeight="1" x14ac:dyDescent="0.3">
      <c r="A134" s="82" t="s">
        <v>342</v>
      </c>
      <c r="B134" s="104" t="s">
        <v>374</v>
      </c>
      <c r="C134" s="78" t="s">
        <v>375</v>
      </c>
      <c r="D134" s="39" t="s">
        <v>376</v>
      </c>
      <c r="E134" s="142">
        <v>510</v>
      </c>
      <c r="F134" s="41" t="s">
        <v>377</v>
      </c>
      <c r="G134" s="42">
        <f t="shared" si="127"/>
        <v>130000000</v>
      </c>
      <c r="H134" s="42"/>
      <c r="I134" s="42">
        <v>120000000</v>
      </c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>
        <v>10000000</v>
      </c>
      <c r="Z134" s="42"/>
      <c r="AA134" s="42"/>
      <c r="AB134" s="42"/>
      <c r="AC134" s="42"/>
      <c r="AD134" s="42"/>
      <c r="AE134" s="43">
        <f t="shared" si="88"/>
        <v>0.99979486923076921</v>
      </c>
      <c r="AF134" s="42">
        <f t="shared" si="128"/>
        <v>129973333</v>
      </c>
      <c r="AG134" s="42"/>
      <c r="AH134" s="42">
        <f>+'[1]OCTUBRE 2019'!$K$4018</f>
        <v>120000000</v>
      </c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>
        <f>+'[3]NOVIEMBRE 2019'!$AA$4456</f>
        <v>9973333</v>
      </c>
      <c r="AY134" s="42"/>
      <c r="AZ134" s="42"/>
      <c r="BA134" s="42"/>
      <c r="BB134" s="42"/>
      <c r="BC134" s="42"/>
      <c r="BD134" s="43">
        <f t="shared" si="141"/>
        <v>2.0513076923078799E-4</v>
      </c>
      <c r="BE134" s="42">
        <f t="shared" si="129"/>
        <v>26667</v>
      </c>
      <c r="BF134" s="42">
        <f t="shared" ref="BF134:BH142" si="146">H134-AG134</f>
        <v>0</v>
      </c>
      <c r="BG134" s="42">
        <f t="shared" si="146"/>
        <v>0</v>
      </c>
      <c r="BH134" s="42">
        <f t="shared" si="146"/>
        <v>0</v>
      </c>
      <c r="BI134" s="42">
        <f t="shared" si="131"/>
        <v>0</v>
      </c>
      <c r="BJ134" s="42">
        <f t="shared" ref="BJ134:BY142" si="147">L134-AK134</f>
        <v>0</v>
      </c>
      <c r="BK134" s="42">
        <f t="shared" si="147"/>
        <v>0</v>
      </c>
      <c r="BL134" s="42">
        <f t="shared" si="147"/>
        <v>0</v>
      </c>
      <c r="BM134" s="42">
        <f t="shared" si="147"/>
        <v>0</v>
      </c>
      <c r="BN134" s="42">
        <f t="shared" si="147"/>
        <v>0</v>
      </c>
      <c r="BO134" s="42">
        <f t="shared" si="147"/>
        <v>0</v>
      </c>
      <c r="BP134" s="42">
        <f t="shared" si="147"/>
        <v>0</v>
      </c>
      <c r="BQ134" s="42">
        <f t="shared" si="147"/>
        <v>0</v>
      </c>
      <c r="BR134" s="42">
        <f t="shared" si="147"/>
        <v>0</v>
      </c>
      <c r="BS134" s="42">
        <f t="shared" si="147"/>
        <v>0</v>
      </c>
      <c r="BT134" s="42">
        <f t="shared" si="147"/>
        <v>0</v>
      </c>
      <c r="BU134" s="42">
        <f t="shared" si="147"/>
        <v>0</v>
      </c>
      <c r="BV134" s="42">
        <f t="shared" si="147"/>
        <v>0</v>
      </c>
      <c r="BW134" s="42">
        <f t="shared" si="147"/>
        <v>26667</v>
      </c>
      <c r="BX134" s="42">
        <f t="shared" si="147"/>
        <v>0</v>
      </c>
      <c r="BY134" s="42">
        <f t="shared" si="147"/>
        <v>0</v>
      </c>
      <c r="BZ134" s="42">
        <f t="shared" ref="BZ134:BZ142" si="148">AB134-BA134</f>
        <v>0</v>
      </c>
      <c r="CA134" s="42"/>
      <c r="CB134" s="42">
        <f t="shared" ref="CB134:CB141" si="149">AD134-BC134</f>
        <v>0</v>
      </c>
      <c r="CC134" s="43">
        <f t="shared" si="117"/>
        <v>0.99979486923076921</v>
      </c>
      <c r="CD134" s="42">
        <f t="shared" si="135"/>
        <v>129973333</v>
      </c>
      <c r="CE134" s="42"/>
      <c r="CF134" s="42">
        <f>+'[2]SEPTIEMBRE 2019'!$H$3589-'[2]SEPTIEMBRE 2019'!$H$3609+'[1]OCTUBRE 2019'!$H$4037</f>
        <v>120000000</v>
      </c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>
        <f>+'[4]JULIO 2019'!$H$2745</f>
        <v>9973333</v>
      </c>
      <c r="CW134" s="42"/>
      <c r="CX134" s="42"/>
      <c r="CY134" s="42"/>
      <c r="CZ134" s="42"/>
      <c r="DA134" s="42"/>
      <c r="DB134" s="43">
        <f t="shared" si="142"/>
        <v>2.0513076923078799E-4</v>
      </c>
      <c r="DC134" s="42">
        <f t="shared" si="136"/>
        <v>26667</v>
      </c>
      <c r="DD134" s="42">
        <f t="shared" ref="DD134:DS142" si="150">H134-CE134</f>
        <v>0</v>
      </c>
      <c r="DE134" s="42">
        <f t="shared" si="150"/>
        <v>0</v>
      </c>
      <c r="DF134" s="42">
        <f t="shared" si="150"/>
        <v>0</v>
      </c>
      <c r="DG134" s="42">
        <f t="shared" si="138"/>
        <v>0</v>
      </c>
      <c r="DH134" s="42">
        <f t="shared" si="138"/>
        <v>0</v>
      </c>
      <c r="DI134" s="42">
        <f t="shared" si="138"/>
        <v>0</v>
      </c>
      <c r="DJ134" s="42">
        <f t="shared" si="138"/>
        <v>0</v>
      </c>
      <c r="DK134" s="42">
        <f t="shared" si="138"/>
        <v>0</v>
      </c>
      <c r="DL134" s="42">
        <f t="shared" si="138"/>
        <v>0</v>
      </c>
      <c r="DM134" s="42">
        <f t="shared" si="138"/>
        <v>0</v>
      </c>
      <c r="DN134" s="42">
        <f t="shared" si="138"/>
        <v>0</v>
      </c>
      <c r="DO134" s="42">
        <f t="shared" si="138"/>
        <v>0</v>
      </c>
      <c r="DP134" s="42">
        <f t="shared" si="138"/>
        <v>0</v>
      </c>
      <c r="DQ134" s="42">
        <f t="shared" si="138"/>
        <v>0</v>
      </c>
      <c r="DR134" s="42">
        <f t="shared" si="138"/>
        <v>0</v>
      </c>
      <c r="DS134" s="42">
        <f t="shared" si="138"/>
        <v>0</v>
      </c>
      <c r="DT134" s="42">
        <f t="shared" si="138"/>
        <v>0</v>
      </c>
      <c r="DU134" s="42">
        <f t="shared" si="138"/>
        <v>26667</v>
      </c>
      <c r="DV134" s="42">
        <f t="shared" si="138"/>
        <v>0</v>
      </c>
      <c r="DW134" s="42">
        <f t="shared" ref="DW134:DX142" si="151">AA134-CX134</f>
        <v>0</v>
      </c>
      <c r="DX134" s="42">
        <f t="shared" si="151"/>
        <v>0</v>
      </c>
      <c r="DY134" s="42"/>
      <c r="DZ134" s="42">
        <f t="shared" ref="DZ134:DZ141" si="152">AD134-DA134</f>
        <v>0</v>
      </c>
      <c r="EB134" s="47">
        <f t="shared" si="143"/>
        <v>130000000</v>
      </c>
      <c r="EC134" s="47">
        <f t="shared" si="144"/>
        <v>130000000</v>
      </c>
      <c r="ED134" s="47">
        <f t="shared" si="145"/>
        <v>130000000</v>
      </c>
      <c r="EI134" s="74">
        <f t="shared" si="87"/>
        <v>130000000</v>
      </c>
      <c r="EJ134" s="74">
        <f t="shared" si="101"/>
        <v>129973333</v>
      </c>
      <c r="EK134" s="241"/>
    </row>
    <row r="135" spans="1:141" ht="31.2" hidden="1" customHeight="1" x14ac:dyDescent="0.3">
      <c r="A135" s="82"/>
      <c r="B135" s="105"/>
      <c r="C135" s="39" t="s">
        <v>378</v>
      </c>
      <c r="D135" s="142" t="s">
        <v>379</v>
      </c>
      <c r="E135" s="41">
        <v>510</v>
      </c>
      <c r="F135" s="42" t="s">
        <v>377</v>
      </c>
      <c r="G135" s="42">
        <f t="shared" si="127"/>
        <v>128270473</v>
      </c>
      <c r="H135" s="42"/>
      <c r="I135" s="42">
        <v>118270473</v>
      </c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>
        <v>10000000</v>
      </c>
      <c r="Z135" s="42"/>
      <c r="AA135" s="42"/>
      <c r="AB135" s="42"/>
      <c r="AC135" s="42"/>
      <c r="AD135" s="42"/>
      <c r="AE135" s="43">
        <f t="shared" si="88"/>
        <v>1</v>
      </c>
      <c r="AF135" s="42">
        <f t="shared" si="128"/>
        <v>128270473</v>
      </c>
      <c r="AG135" s="42"/>
      <c r="AH135" s="42">
        <f>+'[1]OCTUBRE 2019'!$K$4042</f>
        <v>118270473</v>
      </c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>
        <f>+'[1]OCTUBRE 2019'!$AA$4042</f>
        <v>10000000</v>
      </c>
      <c r="AY135" s="42"/>
      <c r="AZ135" s="42"/>
      <c r="BA135" s="42"/>
      <c r="BB135" s="42"/>
      <c r="BC135" s="42"/>
      <c r="BD135" s="43">
        <f t="shared" si="141"/>
        <v>0</v>
      </c>
      <c r="BE135" s="42">
        <f t="shared" si="129"/>
        <v>0</v>
      </c>
      <c r="BF135" s="42">
        <f t="shared" si="146"/>
        <v>0</v>
      </c>
      <c r="BG135" s="42">
        <f t="shared" si="146"/>
        <v>0</v>
      </c>
      <c r="BH135" s="42">
        <f t="shared" si="146"/>
        <v>0</v>
      </c>
      <c r="BI135" s="42">
        <f t="shared" si="131"/>
        <v>0</v>
      </c>
      <c r="BJ135" s="42">
        <f t="shared" si="147"/>
        <v>0</v>
      </c>
      <c r="BK135" s="42">
        <f t="shared" si="147"/>
        <v>0</v>
      </c>
      <c r="BL135" s="42">
        <f t="shared" si="147"/>
        <v>0</v>
      </c>
      <c r="BM135" s="42">
        <f t="shared" si="147"/>
        <v>0</v>
      </c>
      <c r="BN135" s="42">
        <f t="shared" si="147"/>
        <v>0</v>
      </c>
      <c r="BO135" s="42">
        <f t="shared" si="147"/>
        <v>0</v>
      </c>
      <c r="BP135" s="42">
        <f t="shared" si="147"/>
        <v>0</v>
      </c>
      <c r="BQ135" s="42">
        <f t="shared" si="147"/>
        <v>0</v>
      </c>
      <c r="BR135" s="42">
        <f t="shared" si="147"/>
        <v>0</v>
      </c>
      <c r="BS135" s="42">
        <f t="shared" si="147"/>
        <v>0</v>
      </c>
      <c r="BT135" s="42">
        <f t="shared" si="147"/>
        <v>0</v>
      </c>
      <c r="BU135" s="42">
        <f t="shared" si="147"/>
        <v>0</v>
      </c>
      <c r="BV135" s="42">
        <f t="shared" si="147"/>
        <v>0</v>
      </c>
      <c r="BW135" s="42">
        <f t="shared" si="147"/>
        <v>0</v>
      </c>
      <c r="BX135" s="42">
        <f t="shared" si="147"/>
        <v>0</v>
      </c>
      <c r="BY135" s="42">
        <f t="shared" si="147"/>
        <v>0</v>
      </c>
      <c r="BZ135" s="42">
        <f t="shared" si="148"/>
        <v>0</v>
      </c>
      <c r="CA135" s="42"/>
      <c r="CB135" s="42">
        <f t="shared" si="149"/>
        <v>0</v>
      </c>
      <c r="CC135" s="43">
        <f t="shared" si="117"/>
        <v>0.99999999220397351</v>
      </c>
      <c r="CD135" s="42">
        <f t="shared" si="135"/>
        <v>128270472</v>
      </c>
      <c r="CE135" s="42"/>
      <c r="CF135" s="42">
        <f>+'[1]OCTUBRE 2019'!$H$4043+'[1]OCTUBRE 2019'!$H$4060</f>
        <v>118270472</v>
      </c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>
        <f>+'[4]JULIO 2019'!$Z$2753+'[1]OCTUBRE 2019'!$H$4063</f>
        <v>10000000</v>
      </c>
      <c r="CW135" s="42"/>
      <c r="CX135" s="42"/>
      <c r="CY135" s="42"/>
      <c r="CZ135" s="42"/>
      <c r="DA135" s="42"/>
      <c r="DB135" s="43">
        <f t="shared" si="142"/>
        <v>7.7960264910359456E-9</v>
      </c>
      <c r="DC135" s="42">
        <f t="shared" si="136"/>
        <v>1</v>
      </c>
      <c r="DD135" s="42">
        <f t="shared" si="150"/>
        <v>0</v>
      </c>
      <c r="DE135" s="42">
        <f t="shared" si="150"/>
        <v>1</v>
      </c>
      <c r="DF135" s="42">
        <f t="shared" si="150"/>
        <v>0</v>
      </c>
      <c r="DG135" s="42">
        <f t="shared" si="138"/>
        <v>0</v>
      </c>
      <c r="DH135" s="42">
        <f t="shared" si="138"/>
        <v>0</v>
      </c>
      <c r="DI135" s="42">
        <f t="shared" si="138"/>
        <v>0</v>
      </c>
      <c r="DJ135" s="42">
        <f t="shared" si="138"/>
        <v>0</v>
      </c>
      <c r="DK135" s="42">
        <f t="shared" si="138"/>
        <v>0</v>
      </c>
      <c r="DL135" s="42">
        <f t="shared" si="138"/>
        <v>0</v>
      </c>
      <c r="DM135" s="42">
        <f t="shared" si="138"/>
        <v>0</v>
      </c>
      <c r="DN135" s="42">
        <f t="shared" si="138"/>
        <v>0</v>
      </c>
      <c r="DO135" s="42">
        <f t="shared" si="138"/>
        <v>0</v>
      </c>
      <c r="DP135" s="42">
        <f t="shared" si="138"/>
        <v>0</v>
      </c>
      <c r="DQ135" s="42">
        <f t="shared" si="138"/>
        <v>0</v>
      </c>
      <c r="DR135" s="42">
        <f t="shared" si="138"/>
        <v>0</v>
      </c>
      <c r="DS135" s="42">
        <f t="shared" si="138"/>
        <v>0</v>
      </c>
      <c r="DT135" s="42">
        <f t="shared" si="138"/>
        <v>0</v>
      </c>
      <c r="DU135" s="42">
        <f t="shared" si="138"/>
        <v>0</v>
      </c>
      <c r="DV135" s="42">
        <f t="shared" si="138"/>
        <v>0</v>
      </c>
      <c r="DW135" s="42">
        <f t="shared" si="151"/>
        <v>0</v>
      </c>
      <c r="DX135" s="42">
        <f t="shared" si="151"/>
        <v>0</v>
      </c>
      <c r="DY135" s="42"/>
      <c r="DZ135" s="42">
        <f t="shared" si="152"/>
        <v>0</v>
      </c>
      <c r="EB135" s="47">
        <f t="shared" si="143"/>
        <v>128270473</v>
      </c>
      <c r="EC135" s="47">
        <f t="shared" si="144"/>
        <v>128270473</v>
      </c>
      <c r="ED135" s="47">
        <f t="shared" si="145"/>
        <v>128270473</v>
      </c>
      <c r="EI135" s="74">
        <f t="shared" si="87"/>
        <v>128270473</v>
      </c>
      <c r="EJ135" s="74">
        <f t="shared" si="101"/>
        <v>128270472</v>
      </c>
      <c r="EK135" s="241"/>
    </row>
    <row r="136" spans="1:141" ht="27.6" hidden="1" customHeight="1" x14ac:dyDescent="0.3">
      <c r="A136" s="82"/>
      <c r="B136" s="105"/>
      <c r="C136" s="78" t="s">
        <v>380</v>
      </c>
      <c r="D136" s="39" t="s">
        <v>381</v>
      </c>
      <c r="E136" s="142">
        <v>510</v>
      </c>
      <c r="F136" s="41" t="s">
        <v>377</v>
      </c>
      <c r="G136" s="42">
        <f t="shared" si="127"/>
        <v>160000000</v>
      </c>
      <c r="H136" s="42"/>
      <c r="I136" s="42">
        <v>150000000</v>
      </c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>
        <v>10000000</v>
      </c>
      <c r="Z136" s="42"/>
      <c r="AA136" s="42"/>
      <c r="AB136" s="42"/>
      <c r="AC136" s="42"/>
      <c r="AD136" s="42"/>
      <c r="AE136" s="43">
        <f t="shared" si="88"/>
        <v>1</v>
      </c>
      <c r="AF136" s="42">
        <f t="shared" si="128"/>
        <v>160000000</v>
      </c>
      <c r="AG136" s="42"/>
      <c r="AH136" s="42">
        <f>+'[3]NOVIEMBRE 2019'!$K$4508</f>
        <v>150000000</v>
      </c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>
        <f>+'[3]NOVIEMBRE 2019'!$AA$4508</f>
        <v>10000000</v>
      </c>
      <c r="AY136" s="42"/>
      <c r="AZ136" s="42"/>
      <c r="BA136" s="42"/>
      <c r="BB136" s="42"/>
      <c r="BC136" s="42"/>
      <c r="BD136" s="43">
        <f t="shared" si="141"/>
        <v>0</v>
      </c>
      <c r="BE136" s="42">
        <f t="shared" si="129"/>
        <v>0</v>
      </c>
      <c r="BF136" s="42">
        <f t="shared" si="146"/>
        <v>0</v>
      </c>
      <c r="BG136" s="42">
        <f t="shared" si="146"/>
        <v>0</v>
      </c>
      <c r="BH136" s="42">
        <f t="shared" si="146"/>
        <v>0</v>
      </c>
      <c r="BI136" s="42">
        <f t="shared" si="131"/>
        <v>0</v>
      </c>
      <c r="BJ136" s="42">
        <f t="shared" si="147"/>
        <v>0</v>
      </c>
      <c r="BK136" s="42">
        <f t="shared" si="147"/>
        <v>0</v>
      </c>
      <c r="BL136" s="42">
        <f t="shared" si="147"/>
        <v>0</v>
      </c>
      <c r="BM136" s="42">
        <f t="shared" si="147"/>
        <v>0</v>
      </c>
      <c r="BN136" s="42">
        <f t="shared" si="147"/>
        <v>0</v>
      </c>
      <c r="BO136" s="42">
        <f t="shared" si="147"/>
        <v>0</v>
      </c>
      <c r="BP136" s="42">
        <f t="shared" si="147"/>
        <v>0</v>
      </c>
      <c r="BQ136" s="42">
        <f t="shared" si="147"/>
        <v>0</v>
      </c>
      <c r="BR136" s="42">
        <f t="shared" si="147"/>
        <v>0</v>
      </c>
      <c r="BS136" s="42">
        <f t="shared" si="147"/>
        <v>0</v>
      </c>
      <c r="BT136" s="42">
        <f t="shared" si="147"/>
        <v>0</v>
      </c>
      <c r="BU136" s="42">
        <f t="shared" si="147"/>
        <v>0</v>
      </c>
      <c r="BV136" s="42">
        <f t="shared" si="147"/>
        <v>0</v>
      </c>
      <c r="BW136" s="42">
        <f t="shared" si="147"/>
        <v>0</v>
      </c>
      <c r="BX136" s="42">
        <f t="shared" si="147"/>
        <v>0</v>
      </c>
      <c r="BY136" s="42">
        <f t="shared" si="147"/>
        <v>0</v>
      </c>
      <c r="BZ136" s="42">
        <f t="shared" si="148"/>
        <v>0</v>
      </c>
      <c r="CA136" s="42"/>
      <c r="CB136" s="42">
        <f t="shared" si="149"/>
        <v>0</v>
      </c>
      <c r="CC136" s="43">
        <f t="shared" si="117"/>
        <v>0.93757141249999998</v>
      </c>
      <c r="CD136" s="42">
        <f t="shared" si="135"/>
        <v>150011426</v>
      </c>
      <c r="CE136" s="42"/>
      <c r="CF136" s="42">
        <f>+'[1]OCTUBRE 2019'!$H$4071</f>
        <v>149212900</v>
      </c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>
        <f>+'[1]OCTUBRE 2019'!$H$4084</f>
        <v>798526</v>
      </c>
      <c r="CW136" s="42"/>
      <c r="CX136" s="42"/>
      <c r="CY136" s="42"/>
      <c r="CZ136" s="42"/>
      <c r="DA136" s="42"/>
      <c r="DB136" s="43">
        <f t="shared" si="142"/>
        <v>6.2428587500000021E-2</v>
      </c>
      <c r="DC136" s="42">
        <f t="shared" si="136"/>
        <v>9988574</v>
      </c>
      <c r="DD136" s="42">
        <f t="shared" si="150"/>
        <v>0</v>
      </c>
      <c r="DE136" s="42">
        <f t="shared" si="150"/>
        <v>787100</v>
      </c>
      <c r="DF136" s="42">
        <f t="shared" si="150"/>
        <v>0</v>
      </c>
      <c r="DG136" s="42">
        <f t="shared" si="138"/>
        <v>0</v>
      </c>
      <c r="DH136" s="42">
        <f t="shared" si="138"/>
        <v>0</v>
      </c>
      <c r="DI136" s="42">
        <f t="shared" si="138"/>
        <v>0</v>
      </c>
      <c r="DJ136" s="42">
        <f t="shared" si="138"/>
        <v>0</v>
      </c>
      <c r="DK136" s="42">
        <f t="shared" si="138"/>
        <v>0</v>
      </c>
      <c r="DL136" s="42">
        <f t="shared" si="138"/>
        <v>0</v>
      </c>
      <c r="DM136" s="42">
        <f t="shared" si="138"/>
        <v>0</v>
      </c>
      <c r="DN136" s="42">
        <f t="shared" si="138"/>
        <v>0</v>
      </c>
      <c r="DO136" s="42">
        <f t="shared" si="138"/>
        <v>0</v>
      </c>
      <c r="DP136" s="42">
        <f t="shared" si="138"/>
        <v>0</v>
      </c>
      <c r="DQ136" s="42">
        <f t="shared" si="138"/>
        <v>0</v>
      </c>
      <c r="DR136" s="42">
        <f t="shared" si="138"/>
        <v>0</v>
      </c>
      <c r="DS136" s="42">
        <f t="shared" si="138"/>
        <v>0</v>
      </c>
      <c r="DT136" s="42">
        <f t="shared" si="138"/>
        <v>0</v>
      </c>
      <c r="DU136" s="42">
        <f t="shared" si="138"/>
        <v>9201474</v>
      </c>
      <c r="DV136" s="42">
        <f t="shared" si="138"/>
        <v>0</v>
      </c>
      <c r="DW136" s="42">
        <f t="shared" si="151"/>
        <v>0</v>
      </c>
      <c r="DX136" s="42">
        <f t="shared" si="151"/>
        <v>0</v>
      </c>
      <c r="DY136" s="42"/>
      <c r="DZ136" s="42">
        <f t="shared" si="152"/>
        <v>0</v>
      </c>
      <c r="EB136" s="47">
        <f t="shared" si="143"/>
        <v>160000000</v>
      </c>
      <c r="EC136" s="47">
        <f t="shared" si="144"/>
        <v>160000000</v>
      </c>
      <c r="ED136" s="47">
        <f t="shared" si="145"/>
        <v>160000000</v>
      </c>
      <c r="EI136" s="74">
        <f t="shared" si="87"/>
        <v>160000000</v>
      </c>
      <c r="EJ136" s="74">
        <f t="shared" si="101"/>
        <v>150011426</v>
      </c>
      <c r="EK136" s="241"/>
    </row>
    <row r="137" spans="1:141" ht="18.600000000000001" hidden="1" customHeight="1" x14ac:dyDescent="0.3">
      <c r="A137" s="82"/>
      <c r="B137" s="105"/>
      <c r="C137" s="78" t="s">
        <v>382</v>
      </c>
      <c r="D137" s="39" t="s">
        <v>383</v>
      </c>
      <c r="E137" s="142">
        <v>510</v>
      </c>
      <c r="F137" s="41" t="s">
        <v>377</v>
      </c>
      <c r="G137" s="42">
        <f t="shared" si="127"/>
        <v>14000000</v>
      </c>
      <c r="H137" s="42"/>
      <c r="I137" s="42">
        <v>7000000</v>
      </c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>
        <v>7000000</v>
      </c>
      <c r="Z137" s="42"/>
      <c r="AA137" s="42"/>
      <c r="AB137" s="42"/>
      <c r="AC137" s="42"/>
      <c r="AD137" s="42"/>
      <c r="AE137" s="43">
        <f t="shared" si="88"/>
        <v>0.5</v>
      </c>
      <c r="AF137" s="42">
        <f t="shared" si="128"/>
        <v>7000000</v>
      </c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>
        <f>+'[1]OCTUBRE 2019'!$AA$4090</f>
        <v>7000000</v>
      </c>
      <c r="AY137" s="42"/>
      <c r="AZ137" s="42"/>
      <c r="BA137" s="42"/>
      <c r="BB137" s="42"/>
      <c r="BC137" s="42"/>
      <c r="BD137" s="43">
        <f t="shared" si="141"/>
        <v>0.5</v>
      </c>
      <c r="BE137" s="42">
        <f t="shared" si="129"/>
        <v>7000000</v>
      </c>
      <c r="BF137" s="42">
        <f t="shared" si="146"/>
        <v>0</v>
      </c>
      <c r="BG137" s="42">
        <f t="shared" si="146"/>
        <v>7000000</v>
      </c>
      <c r="BH137" s="42">
        <f t="shared" si="146"/>
        <v>0</v>
      </c>
      <c r="BI137" s="42">
        <f t="shared" si="131"/>
        <v>0</v>
      </c>
      <c r="BJ137" s="42">
        <f t="shared" si="147"/>
        <v>0</v>
      </c>
      <c r="BK137" s="42">
        <f t="shared" si="147"/>
        <v>0</v>
      </c>
      <c r="BL137" s="42">
        <f t="shared" si="147"/>
        <v>0</v>
      </c>
      <c r="BM137" s="42">
        <f t="shared" si="147"/>
        <v>0</v>
      </c>
      <c r="BN137" s="42">
        <f t="shared" si="147"/>
        <v>0</v>
      </c>
      <c r="BO137" s="42">
        <f t="shared" si="147"/>
        <v>0</v>
      </c>
      <c r="BP137" s="42">
        <f t="shared" si="147"/>
        <v>0</v>
      </c>
      <c r="BQ137" s="42">
        <f t="shared" si="147"/>
        <v>0</v>
      </c>
      <c r="BR137" s="42">
        <f t="shared" si="147"/>
        <v>0</v>
      </c>
      <c r="BS137" s="42">
        <f t="shared" si="147"/>
        <v>0</v>
      </c>
      <c r="BT137" s="42">
        <f t="shared" si="147"/>
        <v>0</v>
      </c>
      <c r="BU137" s="42">
        <f t="shared" si="147"/>
        <v>0</v>
      </c>
      <c r="BV137" s="42">
        <f t="shared" si="147"/>
        <v>0</v>
      </c>
      <c r="BW137" s="42">
        <f t="shared" si="147"/>
        <v>0</v>
      </c>
      <c r="BX137" s="42">
        <f t="shared" si="147"/>
        <v>0</v>
      </c>
      <c r="BY137" s="42">
        <f t="shared" si="147"/>
        <v>0</v>
      </c>
      <c r="BZ137" s="42">
        <f t="shared" si="148"/>
        <v>0</v>
      </c>
      <c r="CA137" s="42"/>
      <c r="CB137" s="42">
        <f t="shared" si="149"/>
        <v>0</v>
      </c>
      <c r="CC137" s="43">
        <f t="shared" si="117"/>
        <v>0.5</v>
      </c>
      <c r="CD137" s="42">
        <f t="shared" si="135"/>
        <v>7000000</v>
      </c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>
        <f>+'[3]NOVIEMBRE 2019'!$H$4529</f>
        <v>7000000</v>
      </c>
      <c r="CW137" s="42"/>
      <c r="CX137" s="42"/>
      <c r="CY137" s="42"/>
      <c r="CZ137" s="42"/>
      <c r="DA137" s="42"/>
      <c r="DB137" s="43">
        <f t="shared" si="142"/>
        <v>0.5</v>
      </c>
      <c r="DC137" s="42">
        <f t="shared" si="136"/>
        <v>7000000</v>
      </c>
      <c r="DD137" s="42">
        <f t="shared" si="150"/>
        <v>0</v>
      </c>
      <c r="DE137" s="42">
        <f t="shared" si="150"/>
        <v>7000000</v>
      </c>
      <c r="DF137" s="42">
        <f t="shared" si="150"/>
        <v>0</v>
      </c>
      <c r="DG137" s="42">
        <f t="shared" si="138"/>
        <v>0</v>
      </c>
      <c r="DH137" s="42">
        <f t="shared" si="138"/>
        <v>0</v>
      </c>
      <c r="DI137" s="42">
        <f t="shared" si="138"/>
        <v>0</v>
      </c>
      <c r="DJ137" s="42">
        <f t="shared" si="138"/>
        <v>0</v>
      </c>
      <c r="DK137" s="42">
        <f t="shared" si="138"/>
        <v>0</v>
      </c>
      <c r="DL137" s="42">
        <f t="shared" si="138"/>
        <v>0</v>
      </c>
      <c r="DM137" s="42">
        <f t="shared" si="138"/>
        <v>0</v>
      </c>
      <c r="DN137" s="42">
        <f t="shared" si="138"/>
        <v>0</v>
      </c>
      <c r="DO137" s="42">
        <f t="shared" si="138"/>
        <v>0</v>
      </c>
      <c r="DP137" s="42">
        <f t="shared" si="138"/>
        <v>0</v>
      </c>
      <c r="DQ137" s="42">
        <f t="shared" si="138"/>
        <v>0</v>
      </c>
      <c r="DR137" s="42">
        <f t="shared" si="138"/>
        <v>0</v>
      </c>
      <c r="DS137" s="42">
        <f t="shared" si="138"/>
        <v>0</v>
      </c>
      <c r="DT137" s="42">
        <f t="shared" si="138"/>
        <v>0</v>
      </c>
      <c r="DU137" s="42">
        <f t="shared" si="138"/>
        <v>0</v>
      </c>
      <c r="DV137" s="42">
        <f t="shared" si="138"/>
        <v>0</v>
      </c>
      <c r="DW137" s="42">
        <f t="shared" si="151"/>
        <v>0</v>
      </c>
      <c r="DX137" s="42">
        <f t="shared" si="151"/>
        <v>0</v>
      </c>
      <c r="DY137" s="42"/>
      <c r="DZ137" s="42">
        <f t="shared" si="152"/>
        <v>0</v>
      </c>
      <c r="EB137" s="47">
        <f t="shared" si="143"/>
        <v>14000000</v>
      </c>
      <c r="EC137" s="47">
        <f t="shared" si="144"/>
        <v>14000000</v>
      </c>
      <c r="ED137" s="47">
        <f t="shared" si="145"/>
        <v>14000000</v>
      </c>
      <c r="EI137" s="74">
        <f t="shared" si="87"/>
        <v>14000000</v>
      </c>
      <c r="EJ137" s="74">
        <f t="shared" si="101"/>
        <v>7000000</v>
      </c>
      <c r="EK137" s="241"/>
    </row>
    <row r="138" spans="1:141" ht="72.599999999999994" hidden="1" customHeight="1" x14ac:dyDescent="0.3">
      <c r="A138" s="82"/>
      <c r="B138" s="105"/>
      <c r="C138" s="78" t="s">
        <v>384</v>
      </c>
      <c r="D138" s="50" t="s">
        <v>385</v>
      </c>
      <c r="E138" s="142">
        <v>510</v>
      </c>
      <c r="F138" s="41" t="s">
        <v>386</v>
      </c>
      <c r="G138" s="42">
        <f t="shared" si="127"/>
        <v>0</v>
      </c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3" t="e">
        <f t="shared" si="88"/>
        <v>#DIV/0!</v>
      </c>
      <c r="AF138" s="42">
        <f t="shared" si="128"/>
        <v>0</v>
      </c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3" t="e">
        <f t="shared" si="141"/>
        <v>#DIV/0!</v>
      </c>
      <c r="BE138" s="42">
        <f t="shared" si="129"/>
        <v>0</v>
      </c>
      <c r="BF138" s="42">
        <f t="shared" si="146"/>
        <v>0</v>
      </c>
      <c r="BG138" s="42">
        <f t="shared" si="146"/>
        <v>0</v>
      </c>
      <c r="BH138" s="42">
        <f t="shared" si="146"/>
        <v>0</v>
      </c>
      <c r="BI138" s="42">
        <f t="shared" si="131"/>
        <v>0</v>
      </c>
      <c r="BJ138" s="42">
        <f t="shared" si="147"/>
        <v>0</v>
      </c>
      <c r="BK138" s="42">
        <f t="shared" si="147"/>
        <v>0</v>
      </c>
      <c r="BL138" s="42">
        <f t="shared" si="147"/>
        <v>0</v>
      </c>
      <c r="BM138" s="42">
        <f t="shared" si="147"/>
        <v>0</v>
      </c>
      <c r="BN138" s="42">
        <f t="shared" si="147"/>
        <v>0</v>
      </c>
      <c r="BO138" s="42">
        <f t="shared" si="147"/>
        <v>0</v>
      </c>
      <c r="BP138" s="42">
        <f t="shared" si="147"/>
        <v>0</v>
      </c>
      <c r="BQ138" s="42">
        <f t="shared" si="147"/>
        <v>0</v>
      </c>
      <c r="BR138" s="42">
        <f t="shared" si="147"/>
        <v>0</v>
      </c>
      <c r="BS138" s="42">
        <f t="shared" si="147"/>
        <v>0</v>
      </c>
      <c r="BT138" s="42">
        <f t="shared" si="147"/>
        <v>0</v>
      </c>
      <c r="BU138" s="42">
        <f t="shared" si="147"/>
        <v>0</v>
      </c>
      <c r="BV138" s="42">
        <f t="shared" si="147"/>
        <v>0</v>
      </c>
      <c r="BW138" s="42">
        <f t="shared" si="147"/>
        <v>0</v>
      </c>
      <c r="BX138" s="42">
        <f t="shared" si="147"/>
        <v>0</v>
      </c>
      <c r="BY138" s="42">
        <f t="shared" si="147"/>
        <v>0</v>
      </c>
      <c r="BZ138" s="42">
        <f t="shared" si="148"/>
        <v>0</v>
      </c>
      <c r="CA138" s="42"/>
      <c r="CB138" s="42">
        <f t="shared" si="149"/>
        <v>0</v>
      </c>
      <c r="CC138" s="43" t="e">
        <f t="shared" si="117"/>
        <v>#DIV/0!</v>
      </c>
      <c r="CD138" s="42">
        <f t="shared" si="135"/>
        <v>0</v>
      </c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3" t="e">
        <f t="shared" si="142"/>
        <v>#DIV/0!</v>
      </c>
      <c r="DC138" s="42">
        <f t="shared" si="136"/>
        <v>0</v>
      </c>
      <c r="DD138" s="42">
        <f t="shared" si="150"/>
        <v>0</v>
      </c>
      <c r="DE138" s="42">
        <f t="shared" si="150"/>
        <v>0</v>
      </c>
      <c r="DF138" s="42">
        <f t="shared" si="150"/>
        <v>0</v>
      </c>
      <c r="DG138" s="42">
        <f t="shared" si="138"/>
        <v>0</v>
      </c>
      <c r="DH138" s="42">
        <f t="shared" si="138"/>
        <v>0</v>
      </c>
      <c r="DI138" s="42">
        <f t="shared" si="138"/>
        <v>0</v>
      </c>
      <c r="DJ138" s="42">
        <f t="shared" si="138"/>
        <v>0</v>
      </c>
      <c r="DK138" s="42">
        <f t="shared" si="138"/>
        <v>0</v>
      </c>
      <c r="DL138" s="42">
        <f t="shared" si="138"/>
        <v>0</v>
      </c>
      <c r="DM138" s="42">
        <f t="shared" si="138"/>
        <v>0</v>
      </c>
      <c r="DN138" s="42">
        <f t="shared" si="138"/>
        <v>0</v>
      </c>
      <c r="DO138" s="42">
        <f t="shared" si="138"/>
        <v>0</v>
      </c>
      <c r="DP138" s="42">
        <f t="shared" si="138"/>
        <v>0</v>
      </c>
      <c r="DQ138" s="42">
        <f t="shared" si="138"/>
        <v>0</v>
      </c>
      <c r="DR138" s="42">
        <f t="shared" si="138"/>
        <v>0</v>
      </c>
      <c r="DS138" s="42">
        <f t="shared" si="138"/>
        <v>0</v>
      </c>
      <c r="DT138" s="42">
        <f t="shared" si="138"/>
        <v>0</v>
      </c>
      <c r="DU138" s="42">
        <f t="shared" si="138"/>
        <v>0</v>
      </c>
      <c r="DV138" s="42">
        <f t="shared" si="138"/>
        <v>0</v>
      </c>
      <c r="DW138" s="42">
        <f t="shared" si="151"/>
        <v>0</v>
      </c>
      <c r="DX138" s="42">
        <f t="shared" si="151"/>
        <v>0</v>
      </c>
      <c r="DY138" s="42"/>
      <c r="DZ138" s="42">
        <f t="shared" si="152"/>
        <v>0</v>
      </c>
      <c r="EB138" s="47">
        <f t="shared" si="143"/>
        <v>0</v>
      </c>
      <c r="EC138" s="47">
        <f t="shared" si="144"/>
        <v>0</v>
      </c>
      <c r="ED138" s="47">
        <f t="shared" si="145"/>
        <v>0</v>
      </c>
      <c r="EI138" s="74">
        <f t="shared" si="87"/>
        <v>0</v>
      </c>
      <c r="EJ138" s="74">
        <f t="shared" si="101"/>
        <v>0</v>
      </c>
      <c r="EK138" s="241"/>
    </row>
    <row r="139" spans="1:141" ht="84" hidden="1" customHeight="1" x14ac:dyDescent="0.3">
      <c r="A139" s="82"/>
      <c r="B139" s="105"/>
      <c r="C139" s="78" t="s">
        <v>387</v>
      </c>
      <c r="D139" s="50" t="s">
        <v>388</v>
      </c>
      <c r="E139" s="142">
        <v>510</v>
      </c>
      <c r="F139" s="41" t="s">
        <v>386</v>
      </c>
      <c r="G139" s="42">
        <f t="shared" si="127"/>
        <v>4000000</v>
      </c>
      <c r="H139" s="42"/>
      <c r="I139" s="42">
        <v>4000000</v>
      </c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3">
        <f t="shared" si="88"/>
        <v>0</v>
      </c>
      <c r="AF139" s="42">
        <f t="shared" si="128"/>
        <v>0</v>
      </c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3">
        <f t="shared" si="141"/>
        <v>1</v>
      </c>
      <c r="BE139" s="42">
        <f t="shared" si="129"/>
        <v>4000000</v>
      </c>
      <c r="BF139" s="42">
        <f t="shared" si="146"/>
        <v>0</v>
      </c>
      <c r="BG139" s="42">
        <f t="shared" si="146"/>
        <v>4000000</v>
      </c>
      <c r="BH139" s="42">
        <f t="shared" si="146"/>
        <v>0</v>
      </c>
      <c r="BI139" s="42">
        <f t="shared" si="131"/>
        <v>0</v>
      </c>
      <c r="BJ139" s="42">
        <f t="shared" si="147"/>
        <v>0</v>
      </c>
      <c r="BK139" s="42">
        <f t="shared" si="147"/>
        <v>0</v>
      </c>
      <c r="BL139" s="42">
        <f t="shared" si="147"/>
        <v>0</v>
      </c>
      <c r="BM139" s="42">
        <f t="shared" si="147"/>
        <v>0</v>
      </c>
      <c r="BN139" s="42">
        <f t="shared" si="147"/>
        <v>0</v>
      </c>
      <c r="BO139" s="42">
        <f t="shared" si="147"/>
        <v>0</v>
      </c>
      <c r="BP139" s="42">
        <f t="shared" si="147"/>
        <v>0</v>
      </c>
      <c r="BQ139" s="42">
        <f t="shared" si="147"/>
        <v>0</v>
      </c>
      <c r="BR139" s="42">
        <f t="shared" si="147"/>
        <v>0</v>
      </c>
      <c r="BS139" s="42">
        <f t="shared" si="147"/>
        <v>0</v>
      </c>
      <c r="BT139" s="42">
        <f t="shared" si="147"/>
        <v>0</v>
      </c>
      <c r="BU139" s="42">
        <f t="shared" si="147"/>
        <v>0</v>
      </c>
      <c r="BV139" s="42">
        <f t="shared" si="147"/>
        <v>0</v>
      </c>
      <c r="BW139" s="42">
        <f t="shared" si="147"/>
        <v>0</v>
      </c>
      <c r="BX139" s="42">
        <f t="shared" si="147"/>
        <v>0</v>
      </c>
      <c r="BY139" s="42">
        <f t="shared" si="147"/>
        <v>0</v>
      </c>
      <c r="BZ139" s="42">
        <f t="shared" si="148"/>
        <v>0</v>
      </c>
      <c r="CA139" s="42"/>
      <c r="CB139" s="42">
        <f t="shared" si="149"/>
        <v>0</v>
      </c>
      <c r="CC139" s="43">
        <f t="shared" si="117"/>
        <v>0</v>
      </c>
      <c r="CD139" s="42">
        <f t="shared" si="135"/>
        <v>0</v>
      </c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3">
        <f t="shared" si="142"/>
        <v>1</v>
      </c>
      <c r="DC139" s="42">
        <f t="shared" si="136"/>
        <v>4000000</v>
      </c>
      <c r="DD139" s="42">
        <f t="shared" si="150"/>
        <v>0</v>
      </c>
      <c r="DE139" s="42">
        <f t="shared" si="150"/>
        <v>4000000</v>
      </c>
      <c r="DF139" s="42">
        <f t="shared" si="150"/>
        <v>0</v>
      </c>
      <c r="DG139" s="42">
        <f t="shared" si="150"/>
        <v>0</v>
      </c>
      <c r="DH139" s="42">
        <f t="shared" si="150"/>
        <v>0</v>
      </c>
      <c r="DI139" s="42">
        <f t="shared" si="150"/>
        <v>0</v>
      </c>
      <c r="DJ139" s="42">
        <f t="shared" si="150"/>
        <v>0</v>
      </c>
      <c r="DK139" s="42">
        <f t="shared" si="150"/>
        <v>0</v>
      </c>
      <c r="DL139" s="42">
        <f t="shared" si="150"/>
        <v>0</v>
      </c>
      <c r="DM139" s="42">
        <f t="shared" si="150"/>
        <v>0</v>
      </c>
      <c r="DN139" s="42">
        <f t="shared" si="150"/>
        <v>0</v>
      </c>
      <c r="DO139" s="42">
        <f t="shared" si="150"/>
        <v>0</v>
      </c>
      <c r="DP139" s="42">
        <f t="shared" si="150"/>
        <v>0</v>
      </c>
      <c r="DQ139" s="42">
        <f t="shared" si="150"/>
        <v>0</v>
      </c>
      <c r="DR139" s="42">
        <f t="shared" si="150"/>
        <v>0</v>
      </c>
      <c r="DS139" s="42">
        <f t="shared" si="150"/>
        <v>0</v>
      </c>
      <c r="DT139" s="42">
        <f t="shared" ref="DT139:DV142" si="153">X139-CU139</f>
        <v>0</v>
      </c>
      <c r="DU139" s="42">
        <f t="shared" si="153"/>
        <v>0</v>
      </c>
      <c r="DV139" s="42">
        <f t="shared" si="153"/>
        <v>0</v>
      </c>
      <c r="DW139" s="42">
        <f t="shared" si="151"/>
        <v>0</v>
      </c>
      <c r="DX139" s="42">
        <f t="shared" si="151"/>
        <v>0</v>
      </c>
      <c r="DY139" s="42"/>
      <c r="DZ139" s="42">
        <f t="shared" si="152"/>
        <v>0</v>
      </c>
      <c r="EB139" s="47">
        <f t="shared" si="143"/>
        <v>4000000</v>
      </c>
      <c r="EC139" s="47">
        <f t="shared" si="144"/>
        <v>4000000</v>
      </c>
      <c r="ED139" s="47">
        <f t="shared" si="145"/>
        <v>4000000</v>
      </c>
      <c r="EI139" s="74">
        <f t="shared" si="87"/>
        <v>4000000</v>
      </c>
      <c r="EJ139" s="74">
        <f t="shared" si="101"/>
        <v>0</v>
      </c>
      <c r="EK139" s="241"/>
    </row>
    <row r="140" spans="1:141" ht="27.6" hidden="1" customHeight="1" x14ac:dyDescent="0.3">
      <c r="A140" s="82"/>
      <c r="B140" s="151"/>
      <c r="C140" s="78" t="s">
        <v>389</v>
      </c>
      <c r="D140" s="50" t="s">
        <v>390</v>
      </c>
      <c r="E140" s="142">
        <v>510</v>
      </c>
      <c r="F140" s="41" t="s">
        <v>302</v>
      </c>
      <c r="G140" s="42">
        <f t="shared" si="127"/>
        <v>100000000</v>
      </c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>
        <v>100000000</v>
      </c>
      <c r="Z140" s="42"/>
      <c r="AA140" s="42"/>
      <c r="AB140" s="42"/>
      <c r="AC140" s="42"/>
      <c r="AD140" s="42"/>
      <c r="AE140" s="43">
        <f t="shared" si="88"/>
        <v>1</v>
      </c>
      <c r="AF140" s="42">
        <f t="shared" si="128"/>
        <v>100000000</v>
      </c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>
        <f>+'[5]JUNIO 2019'!$Z$2278</f>
        <v>100000000</v>
      </c>
      <c r="AY140" s="42"/>
      <c r="AZ140" s="42"/>
      <c r="BA140" s="42"/>
      <c r="BB140" s="42"/>
      <c r="BC140" s="42"/>
      <c r="BD140" s="43">
        <f t="shared" si="141"/>
        <v>0</v>
      </c>
      <c r="BE140" s="42">
        <f t="shared" si="129"/>
        <v>0</v>
      </c>
      <c r="BF140" s="42">
        <f t="shared" si="146"/>
        <v>0</v>
      </c>
      <c r="BG140" s="42">
        <f t="shared" si="146"/>
        <v>0</v>
      </c>
      <c r="BH140" s="42">
        <f t="shared" si="146"/>
        <v>0</v>
      </c>
      <c r="BI140" s="42">
        <f t="shared" si="131"/>
        <v>0</v>
      </c>
      <c r="BJ140" s="42">
        <f t="shared" si="147"/>
        <v>0</v>
      </c>
      <c r="BK140" s="42">
        <f t="shared" si="147"/>
        <v>0</v>
      </c>
      <c r="BL140" s="42">
        <f t="shared" si="147"/>
        <v>0</v>
      </c>
      <c r="BM140" s="42">
        <f t="shared" si="147"/>
        <v>0</v>
      </c>
      <c r="BN140" s="42">
        <f t="shared" si="147"/>
        <v>0</v>
      </c>
      <c r="BO140" s="42">
        <f t="shared" si="147"/>
        <v>0</v>
      </c>
      <c r="BP140" s="42">
        <f t="shared" si="147"/>
        <v>0</v>
      </c>
      <c r="BQ140" s="42">
        <f t="shared" si="147"/>
        <v>0</v>
      </c>
      <c r="BR140" s="42">
        <f t="shared" si="147"/>
        <v>0</v>
      </c>
      <c r="BS140" s="42">
        <f t="shared" si="147"/>
        <v>0</v>
      </c>
      <c r="BT140" s="42">
        <f t="shared" si="147"/>
        <v>0</v>
      </c>
      <c r="BU140" s="42">
        <f t="shared" si="147"/>
        <v>0</v>
      </c>
      <c r="BV140" s="42">
        <f t="shared" si="147"/>
        <v>0</v>
      </c>
      <c r="BW140" s="42">
        <f t="shared" si="147"/>
        <v>0</v>
      </c>
      <c r="BX140" s="42">
        <f t="shared" si="147"/>
        <v>0</v>
      </c>
      <c r="BY140" s="42">
        <f t="shared" si="147"/>
        <v>0</v>
      </c>
      <c r="BZ140" s="42">
        <f t="shared" si="148"/>
        <v>0</v>
      </c>
      <c r="CA140" s="42"/>
      <c r="CB140" s="42">
        <f t="shared" si="149"/>
        <v>0</v>
      </c>
      <c r="CC140" s="43"/>
      <c r="CD140" s="42">
        <f t="shared" si="135"/>
        <v>94200000</v>
      </c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>
        <f>+'[8]AGOSTO 2019'!$H$3175</f>
        <v>94200000</v>
      </c>
      <c r="CW140" s="42"/>
      <c r="CX140" s="42"/>
      <c r="CY140" s="42"/>
      <c r="CZ140" s="42"/>
      <c r="DA140" s="42"/>
      <c r="DB140" s="43">
        <f t="shared" si="142"/>
        <v>1</v>
      </c>
      <c r="DC140" s="42">
        <f t="shared" si="136"/>
        <v>5800000</v>
      </c>
      <c r="DD140" s="42">
        <f t="shared" si="150"/>
        <v>0</v>
      </c>
      <c r="DE140" s="42">
        <f t="shared" si="150"/>
        <v>0</v>
      </c>
      <c r="DF140" s="42">
        <f t="shared" si="150"/>
        <v>0</v>
      </c>
      <c r="DG140" s="42">
        <f t="shared" si="150"/>
        <v>0</v>
      </c>
      <c r="DH140" s="42">
        <f t="shared" si="150"/>
        <v>0</v>
      </c>
      <c r="DI140" s="42">
        <f t="shared" si="150"/>
        <v>0</v>
      </c>
      <c r="DJ140" s="42">
        <f t="shared" si="150"/>
        <v>0</v>
      </c>
      <c r="DK140" s="42">
        <f t="shared" si="150"/>
        <v>0</v>
      </c>
      <c r="DL140" s="42">
        <f t="shared" si="150"/>
        <v>0</v>
      </c>
      <c r="DM140" s="42">
        <f t="shared" si="150"/>
        <v>0</v>
      </c>
      <c r="DN140" s="42">
        <f t="shared" si="150"/>
        <v>0</v>
      </c>
      <c r="DO140" s="42">
        <f t="shared" si="150"/>
        <v>0</v>
      </c>
      <c r="DP140" s="42">
        <f t="shared" si="150"/>
        <v>0</v>
      </c>
      <c r="DQ140" s="42">
        <f t="shared" si="150"/>
        <v>0</v>
      </c>
      <c r="DR140" s="42">
        <f t="shared" si="150"/>
        <v>0</v>
      </c>
      <c r="DS140" s="42">
        <f t="shared" si="150"/>
        <v>0</v>
      </c>
      <c r="DT140" s="42">
        <f t="shared" si="153"/>
        <v>0</v>
      </c>
      <c r="DU140" s="42">
        <f t="shared" si="153"/>
        <v>5800000</v>
      </c>
      <c r="DV140" s="42">
        <f t="shared" si="153"/>
        <v>0</v>
      </c>
      <c r="DW140" s="42">
        <f t="shared" si="151"/>
        <v>0</v>
      </c>
      <c r="DX140" s="42">
        <f t="shared" si="151"/>
        <v>0</v>
      </c>
      <c r="DY140" s="42"/>
      <c r="DZ140" s="42">
        <f t="shared" si="152"/>
        <v>0</v>
      </c>
      <c r="EB140" s="47">
        <f t="shared" si="143"/>
        <v>100000000</v>
      </c>
      <c r="EC140" s="47">
        <f t="shared" si="144"/>
        <v>100000000</v>
      </c>
      <c r="ED140" s="47">
        <f t="shared" si="145"/>
        <v>100000000</v>
      </c>
      <c r="EH140" s="239"/>
      <c r="EI140" s="74">
        <f t="shared" si="87"/>
        <v>100000000</v>
      </c>
      <c r="EJ140" s="74">
        <f t="shared" si="101"/>
        <v>94200000</v>
      </c>
      <c r="EK140" s="241"/>
    </row>
    <row r="141" spans="1:141" ht="42" hidden="1" customHeight="1" x14ac:dyDescent="0.3">
      <c r="A141" s="82"/>
      <c r="B141" s="125" t="s">
        <v>391</v>
      </c>
      <c r="C141" s="78" t="s">
        <v>392</v>
      </c>
      <c r="D141" s="50" t="s">
        <v>393</v>
      </c>
      <c r="E141" s="142">
        <v>310</v>
      </c>
      <c r="F141" s="41" t="s">
        <v>394</v>
      </c>
      <c r="G141" s="42">
        <f t="shared" si="127"/>
        <v>131000000</v>
      </c>
      <c r="H141" s="42"/>
      <c r="I141" s="42">
        <f>150000000-35000000</f>
        <v>115000000</v>
      </c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>
        <f>13000000+3000000</f>
        <v>16000000</v>
      </c>
      <c r="AE141" s="43">
        <f t="shared" si="88"/>
        <v>1</v>
      </c>
      <c r="AF141" s="42">
        <f t="shared" si="128"/>
        <v>131000000</v>
      </c>
      <c r="AG141" s="42"/>
      <c r="AH141" s="42">
        <f>+'[6]MARZO 2019'!$K$225</f>
        <v>115000000</v>
      </c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>
        <f>+'[12]JULIO 2019'!$AF$572</f>
        <v>16000000</v>
      </c>
      <c r="BD141" s="43">
        <f t="shared" si="141"/>
        <v>0</v>
      </c>
      <c r="BE141" s="42">
        <f t="shared" si="129"/>
        <v>0</v>
      </c>
      <c r="BF141" s="42">
        <f t="shared" si="146"/>
        <v>0</v>
      </c>
      <c r="BG141" s="42">
        <f t="shared" si="146"/>
        <v>0</v>
      </c>
      <c r="BH141" s="42">
        <f t="shared" si="146"/>
        <v>0</v>
      </c>
      <c r="BI141" s="42">
        <f t="shared" si="131"/>
        <v>0</v>
      </c>
      <c r="BJ141" s="42">
        <f t="shared" si="147"/>
        <v>0</v>
      </c>
      <c r="BK141" s="42">
        <f t="shared" si="147"/>
        <v>0</v>
      </c>
      <c r="BL141" s="42">
        <f t="shared" si="147"/>
        <v>0</v>
      </c>
      <c r="BM141" s="42">
        <f t="shared" si="147"/>
        <v>0</v>
      </c>
      <c r="BN141" s="42">
        <f t="shared" si="147"/>
        <v>0</v>
      </c>
      <c r="BO141" s="42">
        <f t="shared" si="147"/>
        <v>0</v>
      </c>
      <c r="BP141" s="42">
        <f t="shared" si="147"/>
        <v>0</v>
      </c>
      <c r="BQ141" s="42">
        <f t="shared" si="147"/>
        <v>0</v>
      </c>
      <c r="BR141" s="42">
        <f t="shared" si="147"/>
        <v>0</v>
      </c>
      <c r="BS141" s="42">
        <f t="shared" si="147"/>
        <v>0</v>
      </c>
      <c r="BT141" s="42">
        <f t="shared" si="147"/>
        <v>0</v>
      </c>
      <c r="BU141" s="42">
        <f t="shared" si="147"/>
        <v>0</v>
      </c>
      <c r="BV141" s="42">
        <f t="shared" si="147"/>
        <v>0</v>
      </c>
      <c r="BW141" s="42">
        <f t="shared" si="147"/>
        <v>0</v>
      </c>
      <c r="BX141" s="42">
        <f t="shared" si="147"/>
        <v>0</v>
      </c>
      <c r="BY141" s="42">
        <f t="shared" si="147"/>
        <v>0</v>
      </c>
      <c r="BZ141" s="42">
        <f t="shared" si="148"/>
        <v>0</v>
      </c>
      <c r="CA141" s="42"/>
      <c r="CB141" s="42">
        <f t="shared" si="149"/>
        <v>0</v>
      </c>
      <c r="CC141" s="43">
        <f>+CD141/G141</f>
        <v>0.95959180152671752</v>
      </c>
      <c r="CD141" s="42">
        <f t="shared" si="135"/>
        <v>125706526</v>
      </c>
      <c r="CE141" s="42"/>
      <c r="CF141" s="42">
        <f>+'[3]NOVIEMBRE 2019'!$H$1070+'[3]NOVIEMBRE 2019'!$H$1118+'[3]NOVIEMBRE 2019'!$H$1152</f>
        <v>114870004</v>
      </c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>
        <f>+'[3]NOVIEMBRE 2019'!$H$1067-CF141</f>
        <v>10836522</v>
      </c>
      <c r="DB141" s="43">
        <f t="shared" si="142"/>
        <v>4.0408198473282475E-2</v>
      </c>
      <c r="DC141" s="42">
        <f t="shared" si="136"/>
        <v>5293474</v>
      </c>
      <c r="DD141" s="42">
        <f t="shared" si="150"/>
        <v>0</v>
      </c>
      <c r="DE141" s="42">
        <f t="shared" si="150"/>
        <v>129996</v>
      </c>
      <c r="DF141" s="42">
        <f t="shared" si="150"/>
        <v>0</v>
      </c>
      <c r="DG141" s="42">
        <f t="shared" si="150"/>
        <v>0</v>
      </c>
      <c r="DH141" s="42">
        <f t="shared" si="150"/>
        <v>0</v>
      </c>
      <c r="DI141" s="42">
        <f t="shared" si="150"/>
        <v>0</v>
      </c>
      <c r="DJ141" s="42">
        <f t="shared" si="150"/>
        <v>0</v>
      </c>
      <c r="DK141" s="42">
        <f t="shared" si="150"/>
        <v>0</v>
      </c>
      <c r="DL141" s="42">
        <f t="shared" si="150"/>
        <v>0</v>
      </c>
      <c r="DM141" s="42">
        <f t="shared" si="150"/>
        <v>0</v>
      </c>
      <c r="DN141" s="42">
        <f t="shared" si="150"/>
        <v>0</v>
      </c>
      <c r="DO141" s="42">
        <f t="shared" si="150"/>
        <v>0</v>
      </c>
      <c r="DP141" s="42">
        <f t="shared" si="150"/>
        <v>0</v>
      </c>
      <c r="DQ141" s="42">
        <f t="shared" si="150"/>
        <v>0</v>
      </c>
      <c r="DR141" s="42">
        <f t="shared" si="150"/>
        <v>0</v>
      </c>
      <c r="DS141" s="42">
        <f t="shared" si="150"/>
        <v>0</v>
      </c>
      <c r="DT141" s="42">
        <f t="shared" si="153"/>
        <v>0</v>
      </c>
      <c r="DU141" s="42">
        <f t="shared" si="153"/>
        <v>0</v>
      </c>
      <c r="DV141" s="42">
        <f t="shared" si="153"/>
        <v>0</v>
      </c>
      <c r="DW141" s="42">
        <f t="shared" si="151"/>
        <v>0</v>
      </c>
      <c r="DX141" s="42">
        <f t="shared" si="151"/>
        <v>0</v>
      </c>
      <c r="DY141" s="42"/>
      <c r="DZ141" s="42">
        <f t="shared" si="152"/>
        <v>5163478</v>
      </c>
      <c r="EB141" s="47">
        <f t="shared" si="143"/>
        <v>131000000</v>
      </c>
      <c r="EC141" s="47">
        <f t="shared" si="144"/>
        <v>131000000</v>
      </c>
      <c r="ED141" s="47">
        <f t="shared" si="145"/>
        <v>131000000</v>
      </c>
      <c r="EI141" s="74">
        <f t="shared" si="87"/>
        <v>131000000</v>
      </c>
      <c r="EJ141" s="74">
        <f t="shared" si="101"/>
        <v>125706526</v>
      </c>
      <c r="EK141" s="241"/>
    </row>
    <row r="142" spans="1:141" ht="19.2" hidden="1" customHeight="1" x14ac:dyDescent="0.3">
      <c r="A142" s="152"/>
      <c r="B142" s="101"/>
      <c r="C142" s="78" t="s">
        <v>395</v>
      </c>
      <c r="D142" s="50" t="s">
        <v>396</v>
      </c>
      <c r="E142" s="142">
        <v>310</v>
      </c>
      <c r="F142" s="41" t="s">
        <v>302</v>
      </c>
      <c r="G142" s="42">
        <f t="shared" si="127"/>
        <v>35000000</v>
      </c>
      <c r="H142" s="42"/>
      <c r="I142" s="42">
        <f>35000000</f>
        <v>35000000</v>
      </c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3">
        <f t="shared" si="88"/>
        <v>1</v>
      </c>
      <c r="AF142" s="42">
        <f t="shared" si="128"/>
        <v>35000000</v>
      </c>
      <c r="AG142" s="42"/>
      <c r="AH142" s="42">
        <f>+'[12]JULIO 2019'!$K$685</f>
        <v>35000000</v>
      </c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3">
        <f t="shared" si="141"/>
        <v>0</v>
      </c>
      <c r="BE142" s="42">
        <f t="shared" si="129"/>
        <v>0</v>
      </c>
      <c r="BF142" s="42">
        <f t="shared" si="146"/>
        <v>0</v>
      </c>
      <c r="BG142" s="42">
        <f t="shared" si="146"/>
        <v>0</v>
      </c>
      <c r="BH142" s="42">
        <f t="shared" si="146"/>
        <v>0</v>
      </c>
      <c r="BI142" s="42">
        <f t="shared" si="131"/>
        <v>0</v>
      </c>
      <c r="BJ142" s="42">
        <f t="shared" si="147"/>
        <v>0</v>
      </c>
      <c r="BK142" s="42">
        <f t="shared" si="147"/>
        <v>0</v>
      </c>
      <c r="BL142" s="42">
        <f t="shared" si="147"/>
        <v>0</v>
      </c>
      <c r="BM142" s="42">
        <f t="shared" si="147"/>
        <v>0</v>
      </c>
      <c r="BN142" s="42">
        <f t="shared" si="147"/>
        <v>0</v>
      </c>
      <c r="BO142" s="42">
        <f t="shared" si="147"/>
        <v>0</v>
      </c>
      <c r="BP142" s="42">
        <f t="shared" si="147"/>
        <v>0</v>
      </c>
      <c r="BQ142" s="42">
        <f t="shared" si="147"/>
        <v>0</v>
      </c>
      <c r="BR142" s="42">
        <f t="shared" si="147"/>
        <v>0</v>
      </c>
      <c r="BS142" s="42">
        <f t="shared" si="147"/>
        <v>0</v>
      </c>
      <c r="BT142" s="42">
        <f t="shared" si="147"/>
        <v>0</v>
      </c>
      <c r="BU142" s="42">
        <f t="shared" si="147"/>
        <v>0</v>
      </c>
      <c r="BV142" s="42">
        <f t="shared" si="147"/>
        <v>0</v>
      </c>
      <c r="BW142" s="42">
        <f t="shared" si="147"/>
        <v>0</v>
      </c>
      <c r="BX142" s="42">
        <f t="shared" si="147"/>
        <v>0</v>
      </c>
      <c r="BY142" s="42">
        <f t="shared" si="147"/>
        <v>0</v>
      </c>
      <c r="BZ142" s="42">
        <f t="shared" si="148"/>
        <v>0</v>
      </c>
      <c r="CA142" s="42"/>
      <c r="CB142" s="42"/>
      <c r="CC142" s="43">
        <f>+CD142/G142</f>
        <v>0.96515977142857146</v>
      </c>
      <c r="CD142" s="42">
        <f t="shared" si="135"/>
        <v>33780592</v>
      </c>
      <c r="CE142" s="42"/>
      <c r="CF142" s="42">
        <f>+'[12]JULIO 2019'!$H$683</f>
        <v>33780592</v>
      </c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3">
        <f t="shared" si="142"/>
        <v>3.4840228571428544E-2</v>
      </c>
      <c r="DC142" s="42">
        <f t="shared" si="136"/>
        <v>1219408</v>
      </c>
      <c r="DD142" s="42">
        <f t="shared" si="150"/>
        <v>0</v>
      </c>
      <c r="DE142" s="42">
        <f t="shared" si="150"/>
        <v>1219408</v>
      </c>
      <c r="DF142" s="42">
        <f t="shared" si="150"/>
        <v>0</v>
      </c>
      <c r="DG142" s="42">
        <f t="shared" si="150"/>
        <v>0</v>
      </c>
      <c r="DH142" s="42">
        <f t="shared" si="150"/>
        <v>0</v>
      </c>
      <c r="DI142" s="42">
        <f t="shared" si="150"/>
        <v>0</v>
      </c>
      <c r="DJ142" s="42">
        <f t="shared" si="150"/>
        <v>0</v>
      </c>
      <c r="DK142" s="42">
        <f t="shared" si="150"/>
        <v>0</v>
      </c>
      <c r="DL142" s="42">
        <f t="shared" si="150"/>
        <v>0</v>
      </c>
      <c r="DM142" s="42">
        <f t="shared" si="150"/>
        <v>0</v>
      </c>
      <c r="DN142" s="42">
        <f t="shared" si="150"/>
        <v>0</v>
      </c>
      <c r="DO142" s="42">
        <f t="shared" si="150"/>
        <v>0</v>
      </c>
      <c r="DP142" s="42">
        <f t="shared" si="150"/>
        <v>0</v>
      </c>
      <c r="DQ142" s="42">
        <f t="shared" si="150"/>
        <v>0</v>
      </c>
      <c r="DR142" s="42">
        <f t="shared" si="150"/>
        <v>0</v>
      </c>
      <c r="DS142" s="42">
        <f t="shared" si="150"/>
        <v>0</v>
      </c>
      <c r="DT142" s="42">
        <f t="shared" si="153"/>
        <v>0</v>
      </c>
      <c r="DU142" s="42">
        <f t="shared" si="153"/>
        <v>0</v>
      </c>
      <c r="DV142" s="42">
        <f t="shared" si="153"/>
        <v>0</v>
      </c>
      <c r="DW142" s="42">
        <f t="shared" si="151"/>
        <v>0</v>
      </c>
      <c r="DX142" s="42">
        <f t="shared" si="151"/>
        <v>0</v>
      </c>
      <c r="DY142" s="42"/>
      <c r="DZ142" s="42"/>
      <c r="EB142" s="47">
        <f t="shared" si="143"/>
        <v>35000000</v>
      </c>
      <c r="EC142" s="47">
        <f t="shared" si="144"/>
        <v>35000000</v>
      </c>
      <c r="ED142" s="47">
        <f t="shared" si="145"/>
        <v>35000000</v>
      </c>
      <c r="EI142" s="74">
        <f t="shared" si="87"/>
        <v>35000000</v>
      </c>
      <c r="EJ142" s="74">
        <f t="shared" si="101"/>
        <v>33780592</v>
      </c>
      <c r="EK142" s="241"/>
    </row>
    <row r="143" spans="1:141" s="73" customFormat="1" ht="20.25" customHeight="1" thickTop="1" thickBot="1" x14ac:dyDescent="0.35">
      <c r="A143" s="153"/>
      <c r="B143" s="230" t="s">
        <v>397</v>
      </c>
      <c r="C143" s="231"/>
      <c r="D143" s="231"/>
      <c r="E143" s="157"/>
      <c r="F143" s="158"/>
      <c r="G143" s="92">
        <f t="shared" ref="G143:AD143" si="154">SUM(G123:G142)</f>
        <v>20745884228</v>
      </c>
      <c r="H143" s="92">
        <f t="shared" si="154"/>
        <v>0</v>
      </c>
      <c r="I143" s="92">
        <f t="shared" si="154"/>
        <v>812610598</v>
      </c>
      <c r="J143" s="92">
        <f t="shared" si="154"/>
        <v>0</v>
      </c>
      <c r="K143" s="92">
        <f t="shared" si="154"/>
        <v>1216000000</v>
      </c>
      <c r="L143" s="92">
        <f t="shared" si="154"/>
        <v>10500000000</v>
      </c>
      <c r="M143" s="92">
        <f t="shared" si="154"/>
        <v>0</v>
      </c>
      <c r="N143" s="92">
        <f t="shared" si="154"/>
        <v>0</v>
      </c>
      <c r="O143" s="92">
        <f t="shared" si="154"/>
        <v>2079799356</v>
      </c>
      <c r="P143" s="92">
        <f t="shared" si="154"/>
        <v>875630318</v>
      </c>
      <c r="Q143" s="92">
        <f t="shared" si="154"/>
        <v>838723421</v>
      </c>
      <c r="R143" s="92">
        <f t="shared" si="154"/>
        <v>692156723</v>
      </c>
      <c r="S143" s="92">
        <f t="shared" si="154"/>
        <v>0</v>
      </c>
      <c r="T143" s="92">
        <f t="shared" si="154"/>
        <v>121047242</v>
      </c>
      <c r="U143" s="92">
        <f t="shared" si="154"/>
        <v>65905320</v>
      </c>
      <c r="V143" s="92">
        <f t="shared" si="154"/>
        <v>227290061</v>
      </c>
      <c r="W143" s="92">
        <f t="shared" si="154"/>
        <v>70000000</v>
      </c>
      <c r="X143" s="92">
        <f t="shared" si="154"/>
        <v>347806613</v>
      </c>
      <c r="Y143" s="92">
        <f t="shared" si="154"/>
        <v>1544837929</v>
      </c>
      <c r="Z143" s="92">
        <f t="shared" si="154"/>
        <v>210178916</v>
      </c>
      <c r="AA143" s="92">
        <f t="shared" si="154"/>
        <v>0</v>
      </c>
      <c r="AB143" s="92">
        <f t="shared" si="154"/>
        <v>0</v>
      </c>
      <c r="AC143" s="92">
        <f t="shared" si="154"/>
        <v>364870888</v>
      </c>
      <c r="AD143" s="92">
        <f t="shared" si="154"/>
        <v>779026843</v>
      </c>
      <c r="AE143" s="71">
        <f t="shared" si="88"/>
        <v>0.45085278473578494</v>
      </c>
      <c r="AF143" s="92">
        <f t="shared" ref="AF143:BC143" si="155">SUM(AF123:AF142)</f>
        <v>9353339676</v>
      </c>
      <c r="AG143" s="92">
        <f t="shared" si="155"/>
        <v>0</v>
      </c>
      <c r="AH143" s="92">
        <f t="shared" si="155"/>
        <v>796610598</v>
      </c>
      <c r="AI143" s="92">
        <f t="shared" si="155"/>
        <v>0</v>
      </c>
      <c r="AJ143" s="92">
        <f t="shared" si="155"/>
        <v>1216000000</v>
      </c>
      <c r="AK143" s="92">
        <f t="shared" si="155"/>
        <v>0</v>
      </c>
      <c r="AL143" s="92">
        <f t="shared" si="155"/>
        <v>0</v>
      </c>
      <c r="AM143" s="92">
        <f t="shared" si="155"/>
        <v>0</v>
      </c>
      <c r="AN143" s="92">
        <f t="shared" si="155"/>
        <v>1947862242</v>
      </c>
      <c r="AO143" s="92">
        <f t="shared" si="155"/>
        <v>770286829</v>
      </c>
      <c r="AP143" s="92">
        <f t="shared" si="155"/>
        <v>741063144</v>
      </c>
      <c r="AQ143" s="92">
        <f t="shared" si="155"/>
        <v>613790277</v>
      </c>
      <c r="AR143" s="92">
        <f t="shared" si="155"/>
        <v>0</v>
      </c>
      <c r="AS143" s="92">
        <f t="shared" si="155"/>
        <v>45000000</v>
      </c>
      <c r="AT143" s="92">
        <f t="shared" si="155"/>
        <v>32413220</v>
      </c>
      <c r="AU143" s="92">
        <f t="shared" si="155"/>
        <v>204290061</v>
      </c>
      <c r="AV143" s="92">
        <f t="shared" si="155"/>
        <v>69955896</v>
      </c>
      <c r="AW143" s="92">
        <f t="shared" si="155"/>
        <v>341177754</v>
      </c>
      <c r="AX143" s="92">
        <f t="shared" si="155"/>
        <v>1476685961</v>
      </c>
      <c r="AY143" s="92">
        <f t="shared" si="155"/>
        <v>210177249</v>
      </c>
      <c r="AZ143" s="92">
        <f t="shared" si="155"/>
        <v>0</v>
      </c>
      <c r="BA143" s="92">
        <f t="shared" si="155"/>
        <v>0</v>
      </c>
      <c r="BB143" s="92">
        <f t="shared" si="155"/>
        <v>202962884</v>
      </c>
      <c r="BC143" s="92">
        <f t="shared" si="155"/>
        <v>685063561</v>
      </c>
      <c r="BD143" s="71">
        <f t="shared" si="141"/>
        <v>0.54914721526421506</v>
      </c>
      <c r="BE143" s="92">
        <f t="shared" ref="BE143:CB143" si="156">SUM(BE123:BE142)</f>
        <v>11392544552</v>
      </c>
      <c r="BF143" s="92">
        <f t="shared" si="156"/>
        <v>0</v>
      </c>
      <c r="BG143" s="92">
        <f t="shared" si="156"/>
        <v>16000000</v>
      </c>
      <c r="BH143" s="92">
        <f t="shared" si="156"/>
        <v>0</v>
      </c>
      <c r="BI143" s="92">
        <f t="shared" si="156"/>
        <v>0</v>
      </c>
      <c r="BJ143" s="92">
        <f t="shared" si="156"/>
        <v>10500000000</v>
      </c>
      <c r="BK143" s="92">
        <f t="shared" si="156"/>
        <v>0</v>
      </c>
      <c r="BL143" s="92">
        <f t="shared" si="156"/>
        <v>0</v>
      </c>
      <c r="BM143" s="92">
        <f t="shared" si="156"/>
        <v>131937114</v>
      </c>
      <c r="BN143" s="92">
        <f t="shared" si="156"/>
        <v>105343489</v>
      </c>
      <c r="BO143" s="92">
        <f t="shared" si="156"/>
        <v>97660277</v>
      </c>
      <c r="BP143" s="92">
        <f t="shared" si="156"/>
        <v>78366446</v>
      </c>
      <c r="BQ143" s="92">
        <f t="shared" si="156"/>
        <v>0</v>
      </c>
      <c r="BR143" s="92">
        <f t="shared" si="156"/>
        <v>76047242</v>
      </c>
      <c r="BS143" s="92">
        <f t="shared" si="156"/>
        <v>33492100</v>
      </c>
      <c r="BT143" s="92">
        <f t="shared" si="156"/>
        <v>23000000</v>
      </c>
      <c r="BU143" s="92">
        <f t="shared" si="156"/>
        <v>44104</v>
      </c>
      <c r="BV143" s="92">
        <f t="shared" si="156"/>
        <v>6628859</v>
      </c>
      <c r="BW143" s="92">
        <f t="shared" si="156"/>
        <v>68151968</v>
      </c>
      <c r="BX143" s="92">
        <f t="shared" si="156"/>
        <v>1667</v>
      </c>
      <c r="BY143" s="92">
        <f t="shared" si="156"/>
        <v>0</v>
      </c>
      <c r="BZ143" s="92">
        <f t="shared" si="156"/>
        <v>0</v>
      </c>
      <c r="CA143" s="92">
        <f t="shared" si="156"/>
        <v>161908004</v>
      </c>
      <c r="CB143" s="92">
        <f t="shared" si="156"/>
        <v>93963282</v>
      </c>
      <c r="CC143" s="71">
        <f>+CD143/G143</f>
        <v>0.38878151624475554</v>
      </c>
      <c r="CD143" s="92">
        <f>SUM(CD123:CD142)</f>
        <v>8065616326</v>
      </c>
      <c r="CE143" s="92">
        <f>SUM(CE123:CE142)</f>
        <v>0</v>
      </c>
      <c r="CF143" s="92">
        <f>SUM(CF123:CF142)</f>
        <v>794474091</v>
      </c>
      <c r="CG143" s="92">
        <f>SUM(CG123:CG142)</f>
        <v>0</v>
      </c>
      <c r="CH143" s="92">
        <f>SUM(CG123:CG142)</f>
        <v>0</v>
      </c>
      <c r="CI143" s="92">
        <f t="shared" ref="CI143:DA143" si="157">SUM(CI123:CI142)</f>
        <v>0</v>
      </c>
      <c r="CJ143" s="92">
        <f t="shared" si="157"/>
        <v>0</v>
      </c>
      <c r="CK143" s="92">
        <f t="shared" si="157"/>
        <v>0</v>
      </c>
      <c r="CL143" s="92">
        <f t="shared" si="157"/>
        <v>1662504706</v>
      </c>
      <c r="CM143" s="92">
        <f t="shared" si="157"/>
        <v>531286829</v>
      </c>
      <c r="CN143" s="92">
        <f t="shared" si="157"/>
        <v>640884463</v>
      </c>
      <c r="CO143" s="92">
        <f t="shared" si="157"/>
        <v>613790277</v>
      </c>
      <c r="CP143" s="92">
        <f t="shared" si="157"/>
        <v>0</v>
      </c>
      <c r="CQ143" s="92">
        <f t="shared" si="157"/>
        <v>0</v>
      </c>
      <c r="CR143" s="92">
        <f t="shared" si="157"/>
        <v>3567404</v>
      </c>
      <c r="CS143" s="92">
        <f t="shared" si="157"/>
        <v>204290061</v>
      </c>
      <c r="CT143" s="92">
        <f t="shared" si="157"/>
        <v>48980841</v>
      </c>
      <c r="CU143" s="92">
        <f t="shared" si="157"/>
        <v>340075814</v>
      </c>
      <c r="CV143" s="92">
        <f t="shared" si="157"/>
        <v>1461684487</v>
      </c>
      <c r="CW143" s="92">
        <f t="shared" si="157"/>
        <v>208708333</v>
      </c>
      <c r="CX143" s="92">
        <f t="shared" si="157"/>
        <v>0</v>
      </c>
      <c r="CY143" s="92">
        <f t="shared" si="157"/>
        <v>0</v>
      </c>
      <c r="CZ143" s="92">
        <f t="shared" si="157"/>
        <v>144299911</v>
      </c>
      <c r="DA143" s="92">
        <f t="shared" si="157"/>
        <v>546116473</v>
      </c>
      <c r="DB143" s="71">
        <f t="shared" si="142"/>
        <v>0.61121848375524446</v>
      </c>
      <c r="DC143" s="92">
        <f t="shared" ref="DC143:DZ143" si="158">SUM(DC123:DC142)</f>
        <v>12680267902</v>
      </c>
      <c r="DD143" s="92">
        <f t="shared" si="158"/>
        <v>0</v>
      </c>
      <c r="DE143" s="92">
        <f t="shared" si="158"/>
        <v>18136507</v>
      </c>
      <c r="DF143" s="92">
        <f t="shared" si="158"/>
        <v>0</v>
      </c>
      <c r="DG143" s="92">
        <f t="shared" si="158"/>
        <v>351047364</v>
      </c>
      <c r="DH143" s="92">
        <f t="shared" si="158"/>
        <v>10500000000</v>
      </c>
      <c r="DI143" s="92">
        <f t="shared" si="158"/>
        <v>0</v>
      </c>
      <c r="DJ143" s="92">
        <f t="shared" si="158"/>
        <v>0</v>
      </c>
      <c r="DK143" s="92">
        <f t="shared" si="158"/>
        <v>417294650</v>
      </c>
      <c r="DL143" s="92">
        <f t="shared" si="158"/>
        <v>344343489</v>
      </c>
      <c r="DM143" s="92">
        <f t="shared" si="158"/>
        <v>197838958</v>
      </c>
      <c r="DN143" s="92">
        <f t="shared" si="158"/>
        <v>78366446</v>
      </c>
      <c r="DO143" s="92">
        <f t="shared" si="158"/>
        <v>0</v>
      </c>
      <c r="DP143" s="92">
        <f t="shared" si="158"/>
        <v>121047242</v>
      </c>
      <c r="DQ143" s="92">
        <f t="shared" si="158"/>
        <v>62337916</v>
      </c>
      <c r="DR143" s="92">
        <f t="shared" si="158"/>
        <v>23000000</v>
      </c>
      <c r="DS143" s="92">
        <f t="shared" si="158"/>
        <v>21019159</v>
      </c>
      <c r="DT143" s="92">
        <f t="shared" si="158"/>
        <v>7730799</v>
      </c>
      <c r="DU143" s="92">
        <f t="shared" si="158"/>
        <v>83153442</v>
      </c>
      <c r="DV143" s="92">
        <f t="shared" si="158"/>
        <v>1470583</v>
      </c>
      <c r="DW143" s="92">
        <f t="shared" si="158"/>
        <v>0</v>
      </c>
      <c r="DX143" s="92">
        <f t="shared" si="158"/>
        <v>0</v>
      </c>
      <c r="DY143" s="92">
        <f t="shared" si="158"/>
        <v>220570977</v>
      </c>
      <c r="DZ143" s="92">
        <f t="shared" si="158"/>
        <v>232910370</v>
      </c>
      <c r="EB143" s="47">
        <f t="shared" si="143"/>
        <v>20745884228</v>
      </c>
      <c r="EC143" s="47">
        <f t="shared" si="144"/>
        <v>20745884228</v>
      </c>
      <c r="ED143" s="47">
        <f t="shared" si="145"/>
        <v>20745884228</v>
      </c>
      <c r="EE143" s="74"/>
      <c r="EH143" s="239" t="s">
        <v>418</v>
      </c>
      <c r="EI143" s="74">
        <f t="shared" si="87"/>
        <v>20745884228</v>
      </c>
      <c r="EJ143" s="74">
        <f t="shared" si="101"/>
        <v>8065616326</v>
      </c>
      <c r="EK143" s="241">
        <v>0.38879999999999998</v>
      </c>
    </row>
    <row r="144" spans="1:141" ht="5.25" customHeight="1" thickTop="1" x14ac:dyDescent="0.3">
      <c r="C144" s="159"/>
      <c r="D144" s="159"/>
      <c r="E144" s="159"/>
      <c r="F144" s="159"/>
      <c r="G144" s="160"/>
      <c r="H144" s="160"/>
      <c r="I144" s="161"/>
      <c r="J144" s="160"/>
      <c r="K144" s="160"/>
      <c r="L144" s="160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  <c r="W144" s="162"/>
      <c r="X144" s="162"/>
      <c r="Y144" s="162"/>
      <c r="Z144" s="162"/>
      <c r="AA144" s="162"/>
      <c r="AB144" s="162"/>
      <c r="AC144" s="162"/>
      <c r="AD144" s="162"/>
      <c r="AE144" s="163"/>
      <c r="AF144" s="164"/>
      <c r="AG144" s="164"/>
      <c r="AH144" s="164"/>
      <c r="AI144" s="164"/>
      <c r="AJ144" s="164"/>
      <c r="AK144" s="164"/>
      <c r="AL144" s="164"/>
      <c r="AM144" s="164"/>
      <c r="AN144" s="164"/>
      <c r="AO144" s="164"/>
      <c r="AP144" s="164"/>
      <c r="AQ144" s="164"/>
      <c r="AR144" s="164"/>
      <c r="AS144" s="164"/>
      <c r="AT144" s="164"/>
      <c r="AU144" s="164"/>
      <c r="AV144" s="164"/>
      <c r="AW144" s="164"/>
      <c r="AX144" s="164"/>
      <c r="AY144" s="164"/>
      <c r="AZ144" s="164"/>
      <c r="BA144" s="164"/>
      <c r="BB144" s="164"/>
      <c r="BC144" s="164"/>
      <c r="BD144" s="163"/>
      <c r="BE144" s="164"/>
      <c r="BF144" s="164"/>
      <c r="BG144" s="164"/>
      <c r="BH144" s="164"/>
      <c r="BI144" s="164"/>
      <c r="BJ144" s="164"/>
      <c r="BK144" s="164"/>
      <c r="BL144" s="164"/>
      <c r="BM144" s="164"/>
      <c r="BN144" s="164"/>
      <c r="BO144" s="164"/>
      <c r="BP144" s="164"/>
      <c r="BQ144" s="164"/>
      <c r="BR144" s="164"/>
      <c r="BS144" s="164"/>
      <c r="BT144" s="164"/>
      <c r="BU144" s="164"/>
      <c r="BV144" s="164"/>
      <c r="BW144" s="164"/>
      <c r="BX144" s="164"/>
      <c r="BY144" s="164"/>
      <c r="BZ144" s="164"/>
      <c r="CA144" s="164"/>
      <c r="CB144" s="164"/>
      <c r="CC144" s="163"/>
      <c r="CD144" s="165"/>
      <c r="CE144" s="164"/>
      <c r="CF144" s="164"/>
      <c r="CG144" s="164"/>
      <c r="CH144" s="164"/>
      <c r="CI144" s="164"/>
      <c r="CJ144" s="164"/>
      <c r="CK144" s="164"/>
      <c r="CL144" s="164"/>
      <c r="CM144" s="164"/>
      <c r="CN144" s="164"/>
      <c r="CO144" s="164"/>
      <c r="CP144" s="164"/>
      <c r="CQ144" s="164"/>
      <c r="CR144" s="164"/>
      <c r="CS144" s="164"/>
      <c r="CT144" s="164"/>
      <c r="CU144" s="164"/>
      <c r="CV144" s="164"/>
      <c r="CW144" s="164"/>
      <c r="CX144" s="164"/>
      <c r="CY144" s="164"/>
      <c r="CZ144" s="164"/>
      <c r="DA144" s="164"/>
      <c r="DB144" s="163"/>
      <c r="DC144" s="164"/>
      <c r="DD144" s="164"/>
      <c r="DE144" s="164"/>
      <c r="DF144" s="164"/>
      <c r="DG144" s="164"/>
      <c r="DH144" s="164"/>
      <c r="DI144" s="164"/>
      <c r="DJ144" s="164"/>
      <c r="DK144" s="164"/>
      <c r="DL144" s="164"/>
      <c r="DM144" s="164"/>
      <c r="DN144" s="164"/>
      <c r="DO144" s="164"/>
      <c r="DP144" s="164"/>
      <c r="DQ144" s="164"/>
      <c r="DR144" s="164"/>
      <c r="DS144" s="164"/>
      <c r="DT144" s="164"/>
      <c r="DU144" s="164"/>
      <c r="DV144" s="164"/>
      <c r="DW144" s="164"/>
      <c r="DX144" s="164"/>
      <c r="DY144" s="164"/>
      <c r="DZ144" s="164"/>
      <c r="EB144" s="47"/>
      <c r="EC144" s="47"/>
      <c r="ED144" s="47"/>
      <c r="EK144" s="241"/>
    </row>
    <row r="145" spans="3:141" ht="19.5" customHeight="1" x14ac:dyDescent="0.3">
      <c r="C145" s="166" t="s">
        <v>398</v>
      </c>
      <c r="D145" s="167"/>
      <c r="E145" s="168"/>
      <c r="F145" s="169"/>
      <c r="G145" s="164">
        <f t="shared" ref="G145:AD145" si="159">G40+G81+G105+G122+G143</f>
        <v>42445623888</v>
      </c>
      <c r="H145" s="164">
        <f t="shared" si="159"/>
        <v>467762013</v>
      </c>
      <c r="I145" s="164">
        <f t="shared" si="159"/>
        <v>2969410598</v>
      </c>
      <c r="J145" s="164">
        <f t="shared" si="159"/>
        <v>80644090</v>
      </c>
      <c r="K145" s="164">
        <f t="shared" si="159"/>
        <v>2311816144</v>
      </c>
      <c r="L145" s="164">
        <f t="shared" si="159"/>
        <v>10500000000</v>
      </c>
      <c r="M145" s="164">
        <f t="shared" si="159"/>
        <v>208000000</v>
      </c>
      <c r="N145" s="164">
        <f t="shared" si="159"/>
        <v>244096406</v>
      </c>
      <c r="O145" s="164">
        <f t="shared" si="159"/>
        <v>4798861038</v>
      </c>
      <c r="P145" s="164">
        <f t="shared" si="159"/>
        <v>986590852</v>
      </c>
      <c r="Q145" s="164">
        <f t="shared" si="159"/>
        <v>899683955</v>
      </c>
      <c r="R145" s="164">
        <f t="shared" si="159"/>
        <v>833117257</v>
      </c>
      <c r="S145" s="164">
        <f t="shared" si="159"/>
        <v>797458202</v>
      </c>
      <c r="T145" s="164">
        <f t="shared" si="159"/>
        <v>151047242</v>
      </c>
      <c r="U145" s="164">
        <f t="shared" si="159"/>
        <v>177491556</v>
      </c>
      <c r="V145" s="164">
        <f t="shared" si="159"/>
        <v>247290061</v>
      </c>
      <c r="W145" s="164">
        <f t="shared" si="159"/>
        <v>5673269814</v>
      </c>
      <c r="X145" s="164">
        <f t="shared" si="159"/>
        <v>1161806613</v>
      </c>
      <c r="Y145" s="164">
        <f t="shared" si="159"/>
        <v>1841680997</v>
      </c>
      <c r="Z145" s="164">
        <f t="shared" si="159"/>
        <v>1651021615</v>
      </c>
      <c r="AA145" s="164">
        <f t="shared" si="159"/>
        <v>1770728185</v>
      </c>
      <c r="AB145" s="164">
        <f t="shared" si="159"/>
        <v>453752865</v>
      </c>
      <c r="AC145" s="164">
        <f t="shared" si="159"/>
        <v>1337681906</v>
      </c>
      <c r="AD145" s="164">
        <f t="shared" si="159"/>
        <v>2882412479</v>
      </c>
      <c r="AE145" s="170">
        <f>+AF145/G145</f>
        <v>0.61760751561037341</v>
      </c>
      <c r="AF145" s="164">
        <f t="shared" ref="AF145:BC145" si="160">AF40+AF81+AF105+AF122+AF143</f>
        <v>26214736318</v>
      </c>
      <c r="AG145" s="164">
        <f t="shared" si="160"/>
        <v>443770850</v>
      </c>
      <c r="AH145" s="111">
        <f t="shared" si="160"/>
        <v>2850818327</v>
      </c>
      <c r="AI145" s="111">
        <f t="shared" si="160"/>
        <v>76644090</v>
      </c>
      <c r="AJ145" s="111">
        <f t="shared" si="160"/>
        <v>1216000000</v>
      </c>
      <c r="AK145" s="111">
        <f t="shared" si="160"/>
        <v>0</v>
      </c>
      <c r="AL145" s="111">
        <f t="shared" si="160"/>
        <v>200411327</v>
      </c>
      <c r="AM145" s="164">
        <f t="shared" si="160"/>
        <v>244096406</v>
      </c>
      <c r="AN145" s="164">
        <f t="shared" si="160"/>
        <v>4340702597</v>
      </c>
      <c r="AO145" s="164">
        <f t="shared" si="160"/>
        <v>823486829</v>
      </c>
      <c r="AP145" s="164">
        <f t="shared" si="160"/>
        <v>779046810</v>
      </c>
      <c r="AQ145" s="164">
        <f t="shared" si="160"/>
        <v>660796216</v>
      </c>
      <c r="AR145" s="164">
        <f t="shared" si="160"/>
        <v>751646051</v>
      </c>
      <c r="AS145" s="164">
        <f t="shared" si="160"/>
        <v>47114681</v>
      </c>
      <c r="AT145" s="164">
        <f t="shared" si="160"/>
        <v>42890459</v>
      </c>
      <c r="AU145" s="164">
        <f t="shared" si="160"/>
        <v>207058580</v>
      </c>
      <c r="AV145" s="164">
        <f t="shared" si="160"/>
        <v>3036232281</v>
      </c>
      <c r="AW145" s="164">
        <f t="shared" si="160"/>
        <v>1073838980</v>
      </c>
      <c r="AX145" s="164">
        <f t="shared" si="160"/>
        <v>1733557774</v>
      </c>
      <c r="AY145" s="164">
        <f t="shared" si="160"/>
        <v>1349729681</v>
      </c>
      <c r="AZ145" s="164">
        <f t="shared" si="160"/>
        <v>1757659170</v>
      </c>
      <c r="BA145" s="164">
        <f t="shared" si="160"/>
        <v>285623667</v>
      </c>
      <c r="BB145" s="164">
        <f t="shared" si="160"/>
        <v>784292884</v>
      </c>
      <c r="BC145" s="164">
        <f t="shared" si="160"/>
        <v>2413502514</v>
      </c>
      <c r="BD145" s="171">
        <f>1-AE145</f>
        <v>0.38239248438962659</v>
      </c>
      <c r="BE145" s="164">
        <f t="shared" ref="BE145:CB145" si="161">BE40+BE81+BE105+BE122+BE143</f>
        <v>16230887570</v>
      </c>
      <c r="BF145" s="164">
        <f t="shared" si="161"/>
        <v>23991163</v>
      </c>
      <c r="BG145" s="111">
        <f t="shared" si="161"/>
        <v>118592271</v>
      </c>
      <c r="BH145" s="111">
        <f t="shared" si="161"/>
        <v>4000000</v>
      </c>
      <c r="BI145" s="111">
        <f t="shared" si="161"/>
        <v>0</v>
      </c>
      <c r="BJ145" s="111">
        <f t="shared" si="161"/>
        <v>10500000000</v>
      </c>
      <c r="BK145" s="111">
        <f t="shared" si="161"/>
        <v>7588673</v>
      </c>
      <c r="BL145" s="164">
        <f t="shared" si="161"/>
        <v>0</v>
      </c>
      <c r="BM145" s="164">
        <f t="shared" si="161"/>
        <v>458158441</v>
      </c>
      <c r="BN145" s="164">
        <f t="shared" si="161"/>
        <v>163104023</v>
      </c>
      <c r="BO145" s="164">
        <f t="shared" si="161"/>
        <v>120637145</v>
      </c>
      <c r="BP145" s="164">
        <f t="shared" si="161"/>
        <v>172321041</v>
      </c>
      <c r="BQ145" s="164">
        <f t="shared" si="161"/>
        <v>45812151</v>
      </c>
      <c r="BR145" s="164">
        <f t="shared" si="161"/>
        <v>103932561</v>
      </c>
      <c r="BS145" s="164">
        <f t="shared" si="161"/>
        <v>134601097</v>
      </c>
      <c r="BT145" s="164">
        <f t="shared" si="161"/>
        <v>40231481</v>
      </c>
      <c r="BU145" s="164">
        <f t="shared" si="161"/>
        <v>2637037533</v>
      </c>
      <c r="BV145" s="164">
        <f t="shared" si="161"/>
        <v>87967633</v>
      </c>
      <c r="BW145" s="164">
        <f t="shared" si="161"/>
        <v>108123223</v>
      </c>
      <c r="BX145" s="164">
        <f t="shared" si="161"/>
        <v>301291934</v>
      </c>
      <c r="BY145" s="164">
        <f t="shared" si="161"/>
        <v>13069015</v>
      </c>
      <c r="BZ145" s="164">
        <f t="shared" si="161"/>
        <v>168129198</v>
      </c>
      <c r="CA145" s="164">
        <f t="shared" si="161"/>
        <v>553389022</v>
      </c>
      <c r="CB145" s="164">
        <f t="shared" si="161"/>
        <v>468909965</v>
      </c>
      <c r="CC145" s="171">
        <f>+CD145/G145</f>
        <v>0.5057268692443162</v>
      </c>
      <c r="CD145" s="164">
        <f>CD40+CD81+CD105+CD122+CD143</f>
        <v>21465892482</v>
      </c>
      <c r="CE145" s="164">
        <f>CE40+CE81+CE105+CE122+CE143</f>
        <v>443770850</v>
      </c>
      <c r="CF145" s="164">
        <f>CF40+CF81+CF105+CF122+CF143</f>
        <v>2675814558</v>
      </c>
      <c r="CG145" s="164">
        <f>CG40+CG81+CG105+CG122+CH143</f>
        <v>34615897</v>
      </c>
      <c r="CH145" s="164">
        <f>CH40+CH81+CH105+CH122+CI143</f>
        <v>155239307</v>
      </c>
      <c r="CI145" s="164">
        <f t="shared" ref="CI145:DA145" si="162">CI40+CI81+CI105+CI122+CI143</f>
        <v>0</v>
      </c>
      <c r="CJ145" s="164">
        <f t="shared" si="162"/>
        <v>205876669</v>
      </c>
      <c r="CK145" s="164">
        <f t="shared" si="162"/>
        <v>236438964</v>
      </c>
      <c r="CL145" s="164">
        <f t="shared" si="162"/>
        <v>3549144173</v>
      </c>
      <c r="CM145" s="164">
        <f t="shared" si="162"/>
        <v>534486829</v>
      </c>
      <c r="CN145" s="164">
        <f t="shared" si="162"/>
        <v>678868129</v>
      </c>
      <c r="CO145" s="164">
        <f t="shared" si="162"/>
        <v>618655536</v>
      </c>
      <c r="CP145" s="164">
        <f t="shared" si="162"/>
        <v>580180670</v>
      </c>
      <c r="CQ145" s="164">
        <f t="shared" si="162"/>
        <v>2114681</v>
      </c>
      <c r="CR145" s="164">
        <f t="shared" si="162"/>
        <v>13820090</v>
      </c>
      <c r="CS145" s="164">
        <f t="shared" si="162"/>
        <v>207058580</v>
      </c>
      <c r="CT145" s="164">
        <f t="shared" si="162"/>
        <v>2238762115</v>
      </c>
      <c r="CU145" s="164">
        <f t="shared" si="162"/>
        <v>996095284</v>
      </c>
      <c r="CV145" s="164">
        <f t="shared" si="162"/>
        <v>1655192977</v>
      </c>
      <c r="CW145" s="164">
        <f t="shared" si="162"/>
        <v>1049536123</v>
      </c>
      <c r="CX145" s="164">
        <f t="shared" si="162"/>
        <v>1717036386</v>
      </c>
      <c r="CY145" s="164">
        <f t="shared" si="162"/>
        <v>225553524</v>
      </c>
      <c r="CZ145" s="164">
        <f t="shared" si="162"/>
        <v>611344094</v>
      </c>
      <c r="DA145" s="164">
        <f t="shared" si="162"/>
        <v>2039324867</v>
      </c>
      <c r="DB145" s="43">
        <f>1-CC145</f>
        <v>0.4942731307556838</v>
      </c>
      <c r="DC145" s="164">
        <f t="shared" ref="DC145:DZ145" si="163">DC40+DC81+DC105+DC122+DC143</f>
        <v>20979731406</v>
      </c>
      <c r="DD145" s="164">
        <f t="shared" si="163"/>
        <v>23991163</v>
      </c>
      <c r="DE145" s="164">
        <f t="shared" si="163"/>
        <v>293596040</v>
      </c>
      <c r="DF145" s="164">
        <f t="shared" si="163"/>
        <v>46028193</v>
      </c>
      <c r="DG145" s="164">
        <f t="shared" si="163"/>
        <v>1159614658</v>
      </c>
      <c r="DH145" s="164">
        <f t="shared" si="163"/>
        <v>10500000000</v>
      </c>
      <c r="DI145" s="164">
        <f t="shared" si="163"/>
        <v>2123331</v>
      </c>
      <c r="DJ145" s="164">
        <f t="shared" si="163"/>
        <v>7657442</v>
      </c>
      <c r="DK145" s="164">
        <f t="shared" si="163"/>
        <v>1249716865</v>
      </c>
      <c r="DL145" s="164">
        <f t="shared" si="163"/>
        <v>452104023</v>
      </c>
      <c r="DM145" s="164">
        <f t="shared" si="163"/>
        <v>220815826</v>
      </c>
      <c r="DN145" s="164">
        <f t="shared" si="163"/>
        <v>214461721</v>
      </c>
      <c r="DO145" s="164">
        <f t="shared" si="163"/>
        <v>217277532</v>
      </c>
      <c r="DP145" s="164">
        <f t="shared" si="163"/>
        <v>148932561</v>
      </c>
      <c r="DQ145" s="164">
        <f t="shared" si="163"/>
        <v>163671466</v>
      </c>
      <c r="DR145" s="164">
        <f t="shared" si="163"/>
        <v>40231481</v>
      </c>
      <c r="DS145" s="164">
        <f t="shared" si="163"/>
        <v>3434507699</v>
      </c>
      <c r="DT145" s="164">
        <f t="shared" si="163"/>
        <v>165711329</v>
      </c>
      <c r="DU145" s="164">
        <f t="shared" si="163"/>
        <v>186488020</v>
      </c>
      <c r="DV145" s="164">
        <f t="shared" si="163"/>
        <v>601485492</v>
      </c>
      <c r="DW145" s="164">
        <f t="shared" si="163"/>
        <v>53691799</v>
      </c>
      <c r="DX145" s="164">
        <f t="shared" si="163"/>
        <v>228199341</v>
      </c>
      <c r="DY145" s="164">
        <f t="shared" si="163"/>
        <v>726337812</v>
      </c>
      <c r="DZ145" s="164">
        <f t="shared" si="163"/>
        <v>843087612</v>
      </c>
      <c r="EB145" s="47">
        <f>+G145</f>
        <v>42445623888</v>
      </c>
      <c r="EC145" s="47">
        <f>+AF145+BE145</f>
        <v>42445623888</v>
      </c>
      <c r="ED145" s="47">
        <f>+CD145+DC145</f>
        <v>42445623888</v>
      </c>
      <c r="EF145" s="63"/>
      <c r="EH145" s="240" t="s">
        <v>14</v>
      </c>
      <c r="EI145" s="242">
        <f>EI40+EI81+EI105+EI122+EI143</f>
        <v>42445623888</v>
      </c>
      <c r="EJ145" s="242">
        <f>EJ40+EJ81+EJ105+EJ122+EJ143</f>
        <v>21465892482</v>
      </c>
      <c r="EK145" s="243">
        <v>0.50570000000000004</v>
      </c>
    </row>
    <row r="146" spans="3:141" ht="5.25" customHeight="1" x14ac:dyDescent="0.3">
      <c r="C146" s="172"/>
      <c r="D146" s="172"/>
      <c r="E146" s="173"/>
      <c r="F146" s="173"/>
      <c r="G146" s="174"/>
      <c r="H146" s="174"/>
      <c r="I146" s="175"/>
      <c r="J146" s="174"/>
      <c r="K146" s="174"/>
      <c r="L146" s="174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Y146" s="176"/>
      <c r="Z146" s="176"/>
      <c r="AA146" s="176"/>
      <c r="AB146" s="176"/>
      <c r="AC146" s="176"/>
      <c r="AD146" s="176"/>
      <c r="AE146" s="177"/>
      <c r="AF146" s="178"/>
      <c r="AG146" s="178"/>
      <c r="AH146" s="178"/>
      <c r="AI146" s="178"/>
      <c r="AJ146" s="178"/>
      <c r="AK146" s="178"/>
      <c r="AL146" s="178"/>
      <c r="AM146" s="178"/>
      <c r="AN146" s="176"/>
      <c r="AO146" s="176"/>
      <c r="AP146" s="176"/>
      <c r="AQ146" s="176"/>
      <c r="AR146" s="176"/>
      <c r="AS146" s="176"/>
      <c r="AT146" s="176"/>
      <c r="AU146" s="176"/>
      <c r="AV146" s="176"/>
      <c r="AW146" s="176"/>
      <c r="AX146" s="176"/>
      <c r="AY146" s="176"/>
      <c r="AZ146" s="176"/>
      <c r="BA146" s="176"/>
      <c r="BB146" s="176"/>
      <c r="BC146" s="176"/>
      <c r="BD146" s="177"/>
      <c r="BE146" s="178"/>
      <c r="BF146" s="178"/>
      <c r="BG146" s="178"/>
      <c r="BH146" s="178"/>
      <c r="BI146" s="178"/>
      <c r="BJ146" s="178"/>
      <c r="BK146" s="178"/>
      <c r="BL146" s="179"/>
      <c r="BM146" s="179"/>
      <c r="BN146" s="179"/>
      <c r="BO146" s="179"/>
      <c r="BP146" s="179"/>
      <c r="BQ146" s="179"/>
      <c r="BR146" s="179"/>
      <c r="BS146" s="179"/>
      <c r="BT146" s="179"/>
      <c r="BU146" s="179"/>
      <c r="BV146" s="179"/>
      <c r="BW146" s="179"/>
      <c r="BX146" s="179"/>
      <c r="BY146" s="179"/>
      <c r="BZ146" s="179"/>
      <c r="CA146" s="179"/>
      <c r="CB146" s="179"/>
      <c r="CC146" s="177"/>
      <c r="CD146" s="180"/>
      <c r="CE146" s="181"/>
      <c r="CF146" s="181"/>
      <c r="CG146" s="181"/>
      <c r="CH146" s="181"/>
      <c r="CI146" s="181"/>
      <c r="CJ146" s="181"/>
      <c r="CK146" s="176"/>
      <c r="CL146" s="176"/>
      <c r="CM146" s="176"/>
      <c r="CN146" s="176"/>
      <c r="CO146" s="176"/>
      <c r="CP146" s="176"/>
      <c r="CQ146" s="176"/>
      <c r="CR146" s="176"/>
      <c r="CS146" s="176"/>
      <c r="CT146" s="176"/>
      <c r="CU146" s="176"/>
      <c r="CV146" s="176"/>
      <c r="CW146" s="176"/>
      <c r="CX146" s="176"/>
      <c r="CY146" s="176"/>
      <c r="CZ146" s="176"/>
      <c r="DA146" s="176"/>
      <c r="DB146" s="43"/>
      <c r="DC146" s="182"/>
      <c r="DD146" s="178"/>
      <c r="DE146" s="178"/>
      <c r="DF146" s="178"/>
      <c r="DG146" s="178"/>
      <c r="DH146" s="178"/>
      <c r="DI146" s="178"/>
      <c r="DJ146" s="179"/>
      <c r="DK146" s="179"/>
      <c r="DL146" s="179"/>
      <c r="DM146" s="179"/>
      <c r="DN146" s="179"/>
      <c r="DO146" s="179"/>
      <c r="DP146" s="179"/>
      <c r="DQ146" s="179"/>
      <c r="DR146" s="179"/>
      <c r="DS146" s="179"/>
      <c r="DT146" s="179"/>
      <c r="DU146" s="179"/>
      <c r="DV146" s="179"/>
      <c r="DW146" s="179"/>
      <c r="DX146" s="179"/>
      <c r="DY146" s="179"/>
      <c r="DZ146" s="179"/>
      <c r="EB146" s="47"/>
      <c r="EC146" s="47"/>
      <c r="ED146" s="47"/>
    </row>
    <row r="147" spans="3:141" ht="28.8" customHeight="1" x14ac:dyDescent="0.3">
      <c r="C147" s="183"/>
      <c r="D147" s="184" t="s">
        <v>399</v>
      </c>
      <c r="E147" s="177">
        <v>111</v>
      </c>
      <c r="F147" s="185"/>
      <c r="G147" s="186">
        <f>SUMIF($E$5:$E$142,"111",$G$5:$G$142)</f>
        <v>13043802420</v>
      </c>
      <c r="H147" s="187">
        <f>SUMIF($E$5:$E$143,"111",$H$5:$H$143)</f>
        <v>0</v>
      </c>
      <c r="I147" s="187">
        <f>SUMIF($E$5:$E$143,"111",$I$5:$I$143)</f>
        <v>0</v>
      </c>
      <c r="J147" s="187">
        <f>SUMIF($E$5:$E$143,"111",$J$5:$J$143)</f>
        <v>0</v>
      </c>
      <c r="K147" s="187">
        <f>SUMIF($E$5:$E$143,"111",$K$5:$K$143)</f>
        <v>0</v>
      </c>
      <c r="L147" s="186">
        <f>SUMIF($E$5:$E$142,"111",$L$5:$L$142)</f>
        <v>10500000000</v>
      </c>
      <c r="M147" s="185">
        <f>SUMIF($E$5:$E$143,"111",$M$5:$M$143)</f>
        <v>0</v>
      </c>
      <c r="N147" s="185">
        <f>SUMIF($E$5:$E$142,"111",$N$5:$N$142)</f>
        <v>0</v>
      </c>
      <c r="O147" s="185">
        <f>SUMIF($E$5:$E$142,"111",$O$5:$O$142)</f>
        <v>473013719</v>
      </c>
      <c r="P147" s="185">
        <f>SUMIF($E$5:$E$142,"111",$P$5:$P$142)</f>
        <v>216000000</v>
      </c>
      <c r="Q147" s="185">
        <f>SUMIF($E$5:$E$142,"111",$Q$5:$Q$142)</f>
        <v>288923121</v>
      </c>
      <c r="R147" s="185">
        <f>SUMIF($E$5:$E$142,"111",$R$5:$R$142)</f>
        <v>561370228</v>
      </c>
      <c r="S147" s="185">
        <f>SUMIF($E$5:$E$142,"111",$S$5:$S$142)</f>
        <v>0</v>
      </c>
      <c r="T147" s="185">
        <f>SUMIF($E$5:$E$142,"111",$T$5:$T$142)</f>
        <v>71047242</v>
      </c>
      <c r="U147" s="185">
        <f>SUMIF($E$5:$E$142,"111",$U$5:$U$142)</f>
        <v>5000000</v>
      </c>
      <c r="V147" s="185">
        <f>SUMIF($E$5:$E$142,"111",$V$5:$V$142)</f>
        <v>55159883</v>
      </c>
      <c r="W147" s="185">
        <f>SUMIF($E$5:$E$142,"111",$W$5:$W$142)</f>
        <v>20000000</v>
      </c>
      <c r="X147" s="185">
        <f>SUMIF($E$5:$E$142,"111",$X$5:$X$142)</f>
        <v>0</v>
      </c>
      <c r="Y147" s="185">
        <f>SUMIF($E$5:$E$142,"111",$Y$5:$Y$142)</f>
        <v>595237929</v>
      </c>
      <c r="Z147" s="185">
        <f>SUMIF($E$5:$E$142,"111",$Z$5:$Z$142)</f>
        <v>0</v>
      </c>
      <c r="AA147" s="185">
        <f>SUMIF($E$5:$E$142,"111",$AA$5:$AA$142)</f>
        <v>0</v>
      </c>
      <c r="AB147" s="185">
        <f>SUMIF($E$5:$E$142,"111",$AA$5:$AA$142)</f>
        <v>0</v>
      </c>
      <c r="AC147" s="185">
        <f>SUMIF($E$5:$E$142,"111",$AC$5:$AC$142)</f>
        <v>123846638</v>
      </c>
      <c r="AD147" s="185">
        <f>SUMIF($E$5:$E$142,"111",$AD$5:$AD$142)</f>
        <v>134203660</v>
      </c>
      <c r="AE147" s="188">
        <f t="shared" ref="AE147:AE154" si="164">+AF147/G147</f>
        <v>0.1588944060377756</v>
      </c>
      <c r="AF147" s="186">
        <f>SUMIF($E$5:$E$142,"111",$AF$5:$AF$142)</f>
        <v>2072587238</v>
      </c>
      <c r="AG147" s="186">
        <f>SUMIF($E$5:$E$142,"111",$AG$5:$AG$142)</f>
        <v>0</v>
      </c>
      <c r="AH147" s="186">
        <f>SUMIF($E$5:$E$142,"111",$AH$5:$AH$142)</f>
        <v>0</v>
      </c>
      <c r="AI147" s="186">
        <f>SUMIF($E$5:$E$142,"111",$AI$5:$AI$142)</f>
        <v>0</v>
      </c>
      <c r="AJ147" s="186">
        <f>SUMIF($E$5:$E$142,"111",$AJ$5:$AJ$142)</f>
        <v>0</v>
      </c>
      <c r="AK147" s="186">
        <f>SUMIF($E$5:$E$142,"111",$AK$5:$AK$142)</f>
        <v>0</v>
      </c>
      <c r="AL147" s="186">
        <f>SUMIF($E$5:$E$142,"111",$AL$5:$AL$142)</f>
        <v>0</v>
      </c>
      <c r="AM147" s="186">
        <f>SUMIF($E$5:$E$142,"111",$AM$5:$AM$142)</f>
        <v>0</v>
      </c>
      <c r="AN147" s="186">
        <f>SUMIF($E$5:$E$142,"111",$AN$5:$AN$142)</f>
        <v>456483545</v>
      </c>
      <c r="AO147" s="186">
        <f>SUMIF($E$5:$E$142,"111",$AO$5:$AO$142)</f>
        <v>144093555</v>
      </c>
      <c r="AP147" s="186">
        <f>SUMIF($E$5:$E$142,"111",$AP$5:$AP$142)</f>
        <v>206429351</v>
      </c>
      <c r="AQ147" s="186">
        <f>SUMIF($E$5:$E$142,"111",$AQ$5:$AQ$142)</f>
        <v>538277548</v>
      </c>
      <c r="AR147" s="186">
        <f>SUMIF($E$5:$E$142,"111",$AR$5:$AR$142)</f>
        <v>0</v>
      </c>
      <c r="AS147" s="186">
        <f>SUMIF($E$5:$E$142,"111",$AS$5:$AS$142)</f>
        <v>0</v>
      </c>
      <c r="AT147" s="186">
        <f>SUMIF($E$5:$E$142,"111",$AT$5:$AT$142)</f>
        <v>3567404</v>
      </c>
      <c r="AU147" s="186">
        <f>SUMIF($E$5:$E$142,"111",$AU$5:$AU$142)</f>
        <v>32159883</v>
      </c>
      <c r="AV147" s="186">
        <f>SUMIF($E$5:$E$142,"111",$AV$5:$AV$142)</f>
        <v>19955896</v>
      </c>
      <c r="AW147" s="186">
        <f>SUMIF($E$5:$E$142,"111",$AW$5:$AW$142)</f>
        <v>0</v>
      </c>
      <c r="AX147" s="186">
        <f>SUMIF($E$5:$E$142,"111",$AX$5:$AX$142)</f>
        <v>536437565</v>
      </c>
      <c r="AY147" s="186">
        <f>SUMIF($E$5:$E$142,"111",$AY$5:$AY$142)</f>
        <v>0</v>
      </c>
      <c r="AZ147" s="186">
        <f>SUMIF($E$5:$E$142,"111",$AZ$5:$AZ$142)</f>
        <v>0</v>
      </c>
      <c r="BA147" s="186">
        <f>SUMIF($E$5:$E$142,"111",$BA$5:$BA$142)</f>
        <v>0</v>
      </c>
      <c r="BB147" s="186">
        <f>SUMIF($E$5:$E$142,"111",$BB$5:$BB$142)</f>
        <v>34000000</v>
      </c>
      <c r="BC147" s="186">
        <f>SUMIF($E$5:$E$142,"111",$BC$5:$BC$142)</f>
        <v>101182491</v>
      </c>
      <c r="BD147" s="171">
        <f t="shared" ref="BD147:BD154" si="165">1-AE147</f>
        <v>0.8411055939622244</v>
      </c>
      <c r="BE147" s="46">
        <f t="shared" ref="BE147:BE153" si="166">SUM(BF147:CB147)</f>
        <v>10971215182</v>
      </c>
      <c r="BF147" s="189">
        <f>SUMIF($E$5:$E$142,"111",$BF$5:$BF$142)</f>
        <v>0</v>
      </c>
      <c r="BG147" s="189">
        <f>SUMIF($E$5:$E$142,"111",$BG$5:$BG$142)</f>
        <v>0</v>
      </c>
      <c r="BH147" s="189">
        <f>SUMIF($E$5:$E$142,"111",$BH$5:$BH$142)</f>
        <v>0</v>
      </c>
      <c r="BI147" s="189">
        <f>SUMIF($E$5:$E$142,"111",$BI$5:$BI$142)</f>
        <v>0</v>
      </c>
      <c r="BJ147" s="189">
        <f>SUMIF($E$5:$E$142,"111",$BJ$5:$BJ$142)</f>
        <v>10500000000</v>
      </c>
      <c r="BK147" s="189">
        <f>SUMIF($E$5:$E$142,"111",$BK$5:$BK$142)</f>
        <v>0</v>
      </c>
      <c r="BL147" s="189">
        <f>SUMIF($E$5:$E$142,"111",$BL$5:$BL$142)</f>
        <v>0</v>
      </c>
      <c r="BM147" s="189">
        <f>SUMIF($E$5:$E$142,"111",$BM$5:$BM$142)</f>
        <v>16530174</v>
      </c>
      <c r="BN147" s="189">
        <f>SUMIF($E$5:$E$142,"111",$BN$5:$BN$142)</f>
        <v>71906445</v>
      </c>
      <c r="BO147" s="189">
        <f>SUMIF($E$5:$E$142,"111",$BO$5:$BO$142)</f>
        <v>82493770</v>
      </c>
      <c r="BP147" s="189">
        <f>SUMIF($E$5:$E$142,"111",$BP$5:$BP$142)</f>
        <v>23092680</v>
      </c>
      <c r="BQ147" s="189">
        <f>SUMIF($E$5:$E$142,"111",$BQ$5:$BQ$142)</f>
        <v>0</v>
      </c>
      <c r="BR147" s="189">
        <f>SUMIF($E$5:$E$142,"111",$BR$5:$BR$142)</f>
        <v>71047242</v>
      </c>
      <c r="BS147" s="189">
        <f>SUMIF($E$5:$E$142,"111",$BS$5:$BS$142)</f>
        <v>1432596</v>
      </c>
      <c r="BT147" s="189">
        <f>SUMIF($E$5:$E$142,"111",$BT$5:$BT$142)</f>
        <v>23000000</v>
      </c>
      <c r="BU147" s="189">
        <f>SUMIF($E$5:$E$142,"111",$BU$5:$BU$142)</f>
        <v>44104</v>
      </c>
      <c r="BV147" s="189">
        <f>SUMIF($E$5:$E$142,"111",$BV$5:$BV$142)</f>
        <v>0</v>
      </c>
      <c r="BW147" s="189">
        <f>SUMIF($E$5:$E$142,"111",$BW$5:$BW$142)</f>
        <v>58800364</v>
      </c>
      <c r="BX147" s="189">
        <f>SUMIF($E$5:$E$142,"111",$BX$5:$BX$142)</f>
        <v>0</v>
      </c>
      <c r="BY147" s="189">
        <f>SUMIF($E$5:$E$142,"111",$BY$5:$BY$142)</f>
        <v>0</v>
      </c>
      <c r="BZ147" s="189">
        <f>SUMIF($E$5:$E$142,"111",$BZ$5:$BZ$142)</f>
        <v>0</v>
      </c>
      <c r="CA147" s="189">
        <f>SUMIF($E$5:$E$142,"111",$CA$5:$CA$142)</f>
        <v>89846638</v>
      </c>
      <c r="CB147" s="190">
        <f>SUMIF($E$5:$E$142,"111",$CB$5:$CB$142)</f>
        <v>33021169</v>
      </c>
      <c r="CC147" s="191">
        <f t="shared" ref="CC147:CC154" si="167">+CD147/G147</f>
        <v>0.1522195254165771</v>
      </c>
      <c r="CD147" s="58">
        <f t="shared" ref="CD147:CD153" si="168">SUM(CE147:DA147)</f>
        <v>1985521414</v>
      </c>
      <c r="CE147" s="186">
        <f>SUMIF($E$5:$E$142,"111",$CE$5:$CE$142)</f>
        <v>0</v>
      </c>
      <c r="CF147" s="186">
        <f>SUMIF($E$5:$E$142,"111",$CF$5:$CF$142)</f>
        <v>0</v>
      </c>
      <c r="CG147" s="186">
        <f>SUMIF($E$5:$E$142,"111",$CG$5:$CG$142)</f>
        <v>0</v>
      </c>
      <c r="CH147" s="186">
        <f>SUMIF($E$5:$E$142,"111",$CH$5:$CH$142)</f>
        <v>0</v>
      </c>
      <c r="CI147" s="186">
        <f>SUMIF($E$5:$E$142,"111",$CI$5:$CI$142)</f>
        <v>0</v>
      </c>
      <c r="CJ147" s="186">
        <f>SUMIF($E$5:$E$142,"111",$CJ$5:$CJ$142)</f>
        <v>0</v>
      </c>
      <c r="CK147" s="186">
        <f>SUMIF($E$5:$E$142,"111",$CK$5:$CK$142)</f>
        <v>0</v>
      </c>
      <c r="CL147" s="186">
        <f>SUMIF($E$5:$E$142,"111",$CL$5:$CL$142)</f>
        <v>439020869</v>
      </c>
      <c r="CM147" s="186">
        <f>SUMIF($E$5:$E$142,"111",$CM$5:$CM$142)</f>
        <v>144093555</v>
      </c>
      <c r="CN147" s="186">
        <f>SUMIF($E$5:$E$142,"111",$CN$5:$CN$142)</f>
        <v>206250670</v>
      </c>
      <c r="CO147" s="186">
        <f>SUMIF($E$5:$E$142,"111",$CO$5:$CO$142)</f>
        <v>538277548</v>
      </c>
      <c r="CP147" s="186">
        <f>SUMIF($E$5:$E$142,"111",$CP$5:$CP$142)</f>
        <v>0</v>
      </c>
      <c r="CQ147" s="186">
        <f>SUMIF($E$5:$E$142,"111",$CQ$5:$CQ$142)</f>
        <v>0</v>
      </c>
      <c r="CR147" s="186">
        <f>SUMIF($E$5:$E$142,"111",$CR$5:$CR$142)</f>
        <v>3567404</v>
      </c>
      <c r="CS147" s="186">
        <f>SUMIF($E$5:$E$142,"111",$CS$5:$CS$142)</f>
        <v>32159883</v>
      </c>
      <c r="CT147" s="186">
        <f>SUMIF($E$5:$E$142,"111",$CT$5:$CT$142)</f>
        <v>19955896</v>
      </c>
      <c r="CU147" s="186">
        <f>SUMIF($E$5:$E$142,"111",$CU$5:$CU$142)</f>
        <v>0</v>
      </c>
      <c r="CV147" s="186">
        <f>SUMIF($E$5:$E$142,"111",$CV$5:$CV$142)</f>
        <v>536437565</v>
      </c>
      <c r="CW147" s="186">
        <f>SUMIF($E$5:$E$142,"111",$CW$5:$CW$142)</f>
        <v>0</v>
      </c>
      <c r="CX147" s="186">
        <f>SUMIF($E$5:$E$142,"111",$CX$5:$CX$142)</f>
        <v>0</v>
      </c>
      <c r="CY147" s="186">
        <f>SUMIF($E$5:$E$142,"111",$CY$5:$CY$142)</f>
        <v>0</v>
      </c>
      <c r="CZ147" s="186">
        <f>SUMIF($E$5:$E$142,"111",$CZ$5:$CZ$142)</f>
        <v>0</v>
      </c>
      <c r="DA147" s="192">
        <f>SUMIF($E$5:$E$142,"111",$DA$5:$DA$142)</f>
        <v>65758024</v>
      </c>
      <c r="DB147" s="43">
        <f t="shared" ref="DB147:DB154" si="169">1-CC147</f>
        <v>0.84778047458342287</v>
      </c>
      <c r="DC147" s="46">
        <f t="shared" ref="DC147:DC153" si="170">SUM(DD147:DZ147)</f>
        <v>11058281006</v>
      </c>
      <c r="DD147" s="189">
        <f>SUMIF($E$5:$E$142,"111",$DD$5:$DD$142)</f>
        <v>0</v>
      </c>
      <c r="DE147" s="189">
        <f>SUMIF($E$5:$E$142,"111",$DE$5:$DE$142)</f>
        <v>0</v>
      </c>
      <c r="DF147" s="189">
        <f>SUMIF($E$5:$E$142,"111",$DF$5:$DF$142)</f>
        <v>0</v>
      </c>
      <c r="DG147" s="189">
        <f>SUMIF($E$5:$E$142,"111",$DG$5:$DG$142)</f>
        <v>0</v>
      </c>
      <c r="DH147" s="189">
        <f>SUMIF($E$5:$E$142,"111",$DH$5:$DH$142)</f>
        <v>10500000000</v>
      </c>
      <c r="DI147" s="189">
        <f>SUMIF($E$5:$E$142,"111",$DI$5:$DI$142)</f>
        <v>0</v>
      </c>
      <c r="DJ147" s="189">
        <f>SUMIF($E$5:$E$142,"111",$DJ$5:$DJ$142)</f>
        <v>0</v>
      </c>
      <c r="DK147" s="189">
        <f>SUMIF($E$5:$E$142,"111",$DK$5:$DK$142)</f>
        <v>33992850</v>
      </c>
      <c r="DL147" s="189">
        <f>SUMIF($E$5:$E$142,"111",$DL$5:$DL$142)</f>
        <v>71906445</v>
      </c>
      <c r="DM147" s="189">
        <f>SUMIF($E$5:$E$142,"111",$DM$5:$DM$142)</f>
        <v>82672451</v>
      </c>
      <c r="DN147" s="189">
        <f>SUMIF($E$5:$E$142,"111",$DN$5:$DN$142)</f>
        <v>23092680</v>
      </c>
      <c r="DO147" s="193">
        <f>SUMIF($E$5:$E$142,"111",$DO$5:$DO$142)</f>
        <v>0</v>
      </c>
      <c r="DP147" s="193">
        <f>SUMIF($E$5:$E$142,"111",$DP$5:$DP$142)</f>
        <v>71047242</v>
      </c>
      <c r="DQ147" s="193">
        <f>SUMIF($E$5:$E$142,"111",$DQ$5:$DQ$142)</f>
        <v>1432596</v>
      </c>
      <c r="DR147" s="193">
        <f>SUMIF($E$5:$E$142,"111",$DR$5:$DR$142)</f>
        <v>23000000</v>
      </c>
      <c r="DS147" s="193">
        <f>SUMIF($E$5:$E$142,"111",$DS$5:$DS$142)</f>
        <v>44104</v>
      </c>
      <c r="DT147" s="193">
        <f>SUMIF($E$5:$E$142,"111",$DT$5:$DT$142)</f>
        <v>0</v>
      </c>
      <c r="DU147" s="193">
        <f>SUMIF($E$5:$E$142,"111",$DU$5:$DU$142)</f>
        <v>58800364</v>
      </c>
      <c r="DV147" s="193">
        <f>SUMIF($E$5:$E$142,"111",$DV$5:$DV$142)</f>
        <v>0</v>
      </c>
      <c r="DW147" s="193">
        <f>SUMIF($E$5:$E$142,"111",$DW$5:$DW$142)</f>
        <v>0</v>
      </c>
      <c r="DX147" s="193">
        <f>SUMIF($E$5:$E$142,"111",$DX$5:$DX$142)</f>
        <v>0</v>
      </c>
      <c r="DY147" s="193">
        <f>SUMIF($E$5:$E$142,"111",$DY$5:$DY$142)</f>
        <v>123846638</v>
      </c>
      <c r="DZ147" s="193">
        <f>SUMIF($E$5:$E$142,"111",$DZ$5:$DZ$142)</f>
        <v>68445636</v>
      </c>
      <c r="EB147" s="47">
        <f t="shared" ref="EB147:EB154" si="171">+G147</f>
        <v>13043802420</v>
      </c>
      <c r="EC147" s="47">
        <f t="shared" ref="EC147:EC153" si="172">+AF147+BE147</f>
        <v>13043802420</v>
      </c>
      <c r="ED147" s="47">
        <f t="shared" ref="ED147:ED154" si="173">+CD147+DC147</f>
        <v>13043802420</v>
      </c>
      <c r="EF147" s="63"/>
      <c r="EH147" s="234" t="s">
        <v>4</v>
      </c>
      <c r="EI147" s="234" t="s">
        <v>411</v>
      </c>
      <c r="EJ147" s="235" t="s">
        <v>412</v>
      </c>
      <c r="EK147" s="235" t="s">
        <v>413</v>
      </c>
    </row>
    <row r="148" spans="3:141" ht="18" customHeight="1" x14ac:dyDescent="0.3">
      <c r="C148" s="194"/>
      <c r="D148" s="184" t="s">
        <v>400</v>
      </c>
      <c r="E148" s="177">
        <v>211</v>
      </c>
      <c r="F148" s="185"/>
      <c r="G148" s="186">
        <f>SUMIF($E$5:$E$142,"211",$G$5:$G$142)</f>
        <v>8014789419</v>
      </c>
      <c r="H148" s="187">
        <f>SUMIF($E$5:$E$143,"211",$H$5:$H$143)</f>
        <v>0</v>
      </c>
      <c r="I148" s="187">
        <f>SUMIF($E$5:$E$143,"211",$I$5:$I$143)</f>
        <v>263340125</v>
      </c>
      <c r="J148" s="187">
        <f>SUMIF($E$5:$E$143,"211",$J$5:$J$143)</f>
        <v>0</v>
      </c>
      <c r="K148" s="187">
        <f>SUMIF($E$5:$E$143,"211",$K$5:$K$143)</f>
        <v>1216000000</v>
      </c>
      <c r="L148" s="186">
        <f>SUMIF($E$5:$E$142,"211",$L$5:$L$142)</f>
        <v>0</v>
      </c>
      <c r="M148" s="185">
        <f>SUMIF($E$5:$E$142,"211",$M$5:$M$142)</f>
        <v>0</v>
      </c>
      <c r="N148" s="185">
        <f>SUMIF($E$5:$E$142,"211",$N$5:$N$142)</f>
        <v>244096406</v>
      </c>
      <c r="O148" s="185">
        <f>SUMIF($E$5:$E$142,"211",$O$5:$O$142)</f>
        <v>1906785637</v>
      </c>
      <c r="P148" s="185">
        <f>SUMIF($E$5:$E$142,"211",$P$5:$P$142)</f>
        <v>709630318</v>
      </c>
      <c r="Q148" s="185">
        <f>SUMIF($E$5:$E$142,"211",$Q$5:$Q$142)</f>
        <v>549800300</v>
      </c>
      <c r="R148" s="185">
        <f>SUMIF($E$5:$E$142,"211",$R$5:$R$142)</f>
        <v>170786495</v>
      </c>
      <c r="S148" s="185">
        <f>SUMIF($E$5:$E$142,"211",$S$5:$S$142)</f>
        <v>0</v>
      </c>
      <c r="T148" s="185">
        <f>SUMIF($E$5:$E$142,"211",$T$5:$T$142)</f>
        <v>50000000</v>
      </c>
      <c r="U148" s="185">
        <f>SUMIF($E$5:$E$142,"211",$U$5:$U$142)</f>
        <v>112491556</v>
      </c>
      <c r="V148" s="185">
        <f>SUMIF($E$5:$E$142,"211",$V$5:$V$142)</f>
        <v>172130178</v>
      </c>
      <c r="W148" s="185">
        <f>SUMIF($E$5:$E$142,"211",$W$5:$W$142)</f>
        <v>80000000</v>
      </c>
      <c r="X148" s="185">
        <f>SUMIF($E$5:$E$142,"211",$X$5:$X$142)</f>
        <v>347806613</v>
      </c>
      <c r="Y148" s="185">
        <f>SUMIF($E$5:$E$142,"211",$Y$5:$Y$142)</f>
        <v>812600000</v>
      </c>
      <c r="Z148" s="185">
        <f>SUMIF($E$5:$E$142,"211",$Z$5:$Z$142)</f>
        <v>210178916</v>
      </c>
      <c r="AA148" s="185">
        <f>SUMIF($E$5:$E$142,"211",$AA$5:$AA$142)</f>
        <v>0</v>
      </c>
      <c r="AB148" s="185"/>
      <c r="AC148" s="185">
        <f>SUMIF($E$5:$E$142,"211",$AC$5:$AC$142)</f>
        <v>241024250</v>
      </c>
      <c r="AD148" s="185">
        <f>SUMIF($E$5:$E$142,"211",$AD$5:$AD$142)</f>
        <v>928118625</v>
      </c>
      <c r="AE148" s="188">
        <f t="shared" si="164"/>
        <v>0.93400446220756783</v>
      </c>
      <c r="AF148" s="186">
        <f>SUMIF($E$5:$E$142,"211",$AF$5:$AF$142)</f>
        <v>7485849081</v>
      </c>
      <c r="AG148" s="186">
        <f>SUMIF($E$5:$E$142,"211",$AG$5:$AG$142)</f>
        <v>0</v>
      </c>
      <c r="AH148" s="186">
        <f>SUMIF($E$5:$E$142,"211",$AH$5:$AH$142)</f>
        <v>258340125</v>
      </c>
      <c r="AI148" s="186">
        <f>SUMIF($E$5:$E$142,"211",$AI$5:$AI$142)</f>
        <v>0</v>
      </c>
      <c r="AJ148" s="186">
        <f>SUMIF($E$5:$E$142,"211",$AJ$5:$AJ$142)</f>
        <v>1216000000</v>
      </c>
      <c r="AK148" s="186">
        <f>SUMIF($E$5:$E$142,"211",$AK$5:$AK$142)</f>
        <v>0</v>
      </c>
      <c r="AL148" s="186">
        <f>SUMIF($E$5:$E$142,"211",$AL$5:$AL$142)</f>
        <v>0</v>
      </c>
      <c r="AM148" s="186">
        <f>SUMIF($E$5:$E$142,"211",$AM$5:$AM$142)</f>
        <v>244096406</v>
      </c>
      <c r="AN148" s="186">
        <f>SUMIF($E$5:$E$142,"211",$AN$5:$AN$142)</f>
        <v>1791378697</v>
      </c>
      <c r="AO148" s="186">
        <f>SUMIF($E$5:$E$142,"211",$AO$5:$AO$142)</f>
        <v>676193274</v>
      </c>
      <c r="AP148" s="186">
        <f>SUMIF($E$5:$E$142,"211",$AP$5:$AP$142)</f>
        <v>534633793</v>
      </c>
      <c r="AQ148" s="186">
        <f>SUMIF($E$5:$E$142,"211",$AQ$5:$AQ$142)</f>
        <v>115512729</v>
      </c>
      <c r="AR148" s="186">
        <f>SUMIF($E$5:$E$142,"211",$AR$5:$AR$142)</f>
        <v>0</v>
      </c>
      <c r="AS148" s="186">
        <f>SUMIF($E$5:$E$142,"211",$AS$5:$AS$142)</f>
        <v>45000000</v>
      </c>
      <c r="AT148" s="186">
        <f>SUMIF($E$5:$E$142,"211",$AT$5:$AT$142)</f>
        <v>28845816</v>
      </c>
      <c r="AU148" s="186">
        <f>SUMIF($E$5:$E$142,"211",$AU$5:$AU$142)</f>
        <v>172130178</v>
      </c>
      <c r="AV148" s="186">
        <f>SUMIF($E$5:$E$142,"211",$AV$5:$AV$142)</f>
        <v>80000000</v>
      </c>
      <c r="AW148" s="186">
        <f>SUMIF($E$5:$E$142,"211",$AW$5:$AW$142)</f>
        <v>341177754</v>
      </c>
      <c r="AX148" s="186">
        <f>SUMIF($E$5:$E$142,"211",$AX$5:$AX$142)</f>
        <v>803275063</v>
      </c>
      <c r="AY148" s="186">
        <f>SUMIF($E$5:$E$142,"211",$AY$5:$AY$142)</f>
        <v>210177249</v>
      </c>
      <c r="AZ148" s="186">
        <f>SUMIF($E$5:$E$142,"211",$AZ$5:$AZ$142)</f>
        <v>0</v>
      </c>
      <c r="BA148" s="186">
        <f>SUMIF($E$5:$E$142,"211",$BA$5:$BA$142)</f>
        <v>0</v>
      </c>
      <c r="BB148" s="186">
        <f>SUMIF($E$5:$E$142,"211",$BB$5:$BB$142)</f>
        <v>168962884</v>
      </c>
      <c r="BC148" s="186">
        <f>SUMIF($E$5:$E$142,"211",$BC$5:$BC$142)</f>
        <v>800125113</v>
      </c>
      <c r="BD148" s="171">
        <f t="shared" si="165"/>
        <v>6.5995537792432168E-2</v>
      </c>
      <c r="BE148" s="46">
        <f t="shared" si="166"/>
        <v>528940338</v>
      </c>
      <c r="BF148" s="189">
        <f>SUMIF($E$5:$E$142,"211",$BF$5:$BF$142)</f>
        <v>0</v>
      </c>
      <c r="BG148" s="189">
        <f>SUMIF($E$5:$E$142,"211",$BG$5:$BG$142)</f>
        <v>5000000</v>
      </c>
      <c r="BH148" s="189">
        <f>SUMIF($E$5:$E$142,"211",$BH$5:$BH$142)</f>
        <v>0</v>
      </c>
      <c r="BI148" s="189">
        <f>SUMIF($E$5:$E$142,"211",$BI$5:$BI$142)</f>
        <v>0</v>
      </c>
      <c r="BJ148" s="189">
        <f>SUMIF($E$5:$E$142,"211",$BJ$5:$BJ$142)</f>
        <v>0</v>
      </c>
      <c r="BK148" s="189">
        <f>SUMIF($E$5:$E$142,"211",$BK$5:$BK$142)</f>
        <v>0</v>
      </c>
      <c r="BL148" s="189">
        <f>SUMIF($E$5:$E$142,"211",$BL$5:$BL$142)</f>
        <v>0</v>
      </c>
      <c r="BM148" s="189">
        <f>SUMIF($E$5:$E$142,"211",$BM$5:$BM$142)</f>
        <v>115406940</v>
      </c>
      <c r="BN148" s="189">
        <f>SUMIF($E$5:$E$142,"211",$BN$5:$BN$142)</f>
        <v>33437044</v>
      </c>
      <c r="BO148" s="189">
        <f>SUMIF($E$5:$E$142,"211",$BO$5:$BO$142)</f>
        <v>15166507</v>
      </c>
      <c r="BP148" s="189">
        <f>SUMIF($E$5:$E$142,"211",$BP$5:$BP$142)</f>
        <v>55273766</v>
      </c>
      <c r="BQ148" s="189">
        <f>SUMIF($E$5:$E$142,"211",$BQ$5:$BQ$142)</f>
        <v>0</v>
      </c>
      <c r="BR148" s="189">
        <f>SUMIF($E$5:$E$142,"211",$BR$5:$BR$142)</f>
        <v>5000000</v>
      </c>
      <c r="BS148" s="189">
        <f>SUMIF($E$5:$E$142,"211",$BS$5:$BS$142)</f>
        <v>83645740</v>
      </c>
      <c r="BT148" s="189">
        <f>SUMIF($E$5:$E$142,"211",$BT$5:$BT$142)</f>
        <v>0</v>
      </c>
      <c r="BU148" s="189">
        <f>SUMIF($E$5:$E$142,"211",$BU$5:$BU$142)</f>
        <v>0</v>
      </c>
      <c r="BV148" s="189">
        <f>SUMIF($E$5:$E$142,"211",$BV$5:$BV$142)</f>
        <v>6628859</v>
      </c>
      <c r="BW148" s="189">
        <f>SUMIF($E$5:$E$142,"211",$BW$5:$BW$142)</f>
        <v>9324937</v>
      </c>
      <c r="BX148" s="189">
        <f>SUMIF($E$5:$E$142,"211",$BX$5:$BX$142)</f>
        <v>1667</v>
      </c>
      <c r="BY148" s="189">
        <f>SUMIF($E$5:$E$142,"211",$BY$5:$BY$142)</f>
        <v>0</v>
      </c>
      <c r="BZ148" s="189">
        <f>SUMIF($E$5:$E$142,"211",$BZ$5:$BZ$142)</f>
        <v>0</v>
      </c>
      <c r="CA148" s="189">
        <f>SUMIF($E$5:$E$142,"211",$CA$5:$CA$142)</f>
        <v>72061366</v>
      </c>
      <c r="CB148" s="190">
        <f>SUMIF($E$5:$E$142,"211",$CB$5:$CB$142)</f>
        <v>127993512</v>
      </c>
      <c r="CC148" s="191">
        <f t="shared" si="167"/>
        <v>0.77401521895181813</v>
      </c>
      <c r="CD148" s="58">
        <f t="shared" si="168"/>
        <v>6203568987</v>
      </c>
      <c r="CE148" s="186">
        <f>SUMIF($E$5:$E$142,"211",$CE$5:$CE$142)</f>
        <v>0</v>
      </c>
      <c r="CF148" s="186">
        <f>SUMIF($E$5:$E$142,"211",$CF$5:$CF$142)</f>
        <v>258340123</v>
      </c>
      <c r="CG148" s="186">
        <f>SUMIF($E$5:$E$142,"211",$CG$5:$CG$142)</f>
        <v>0</v>
      </c>
      <c r="CH148" s="186">
        <f>SUMIF($E$5:$E$142,"211",$CH$5:$CH$142)</f>
        <v>864952636</v>
      </c>
      <c r="CI148" s="186">
        <f>SUMIF($E$5:$E$142,"211",$CI$5:$CI$142)</f>
        <v>0</v>
      </c>
      <c r="CJ148" s="186">
        <f>SUMIF($E$5:$E$142,"211",$CJ$5:$CJ$142)</f>
        <v>0</v>
      </c>
      <c r="CK148" s="186">
        <f>SUMIF($E$5:$E$142,"211",$CK$5:$CK$142)</f>
        <v>236438964</v>
      </c>
      <c r="CL148" s="186">
        <f>SUMIF($E$5:$E$142,"211",$CL$5:$CL$142)</f>
        <v>1523483837</v>
      </c>
      <c r="CM148" s="186">
        <f>SUMIF($E$5:$E$142,"211",$CM$5:$CM$142)</f>
        <v>387193274</v>
      </c>
      <c r="CN148" s="186">
        <f>SUMIF($E$5:$E$142,"211",$CN$5:$CN$142)</f>
        <v>434633793</v>
      </c>
      <c r="CO148" s="186">
        <f>SUMIF($E$5:$E$142,"211",$CO$5:$CO$142)</f>
        <v>75512729</v>
      </c>
      <c r="CP148" s="186">
        <f>SUMIF($E$5:$E$142,"211",$CP$5:$CP$142)</f>
        <v>0</v>
      </c>
      <c r="CQ148" s="186">
        <f>SUMIF($E$5:$E$142,"211",$CQ$5:$CQ$142)</f>
        <v>0</v>
      </c>
      <c r="CR148" s="186">
        <f>SUMIF($E$5:$E$142,"211",$CR$5:$CR$142)</f>
        <v>0</v>
      </c>
      <c r="CS148" s="186">
        <f>SUMIF($E$5:$E$142,"211",$CS$5:$CS$142)</f>
        <v>172130178</v>
      </c>
      <c r="CT148" s="186">
        <f>SUMIF($E$5:$E$142,"211",$CT$5:$CT$142)</f>
        <v>56408945</v>
      </c>
      <c r="CU148" s="186">
        <f>SUMIF($E$5:$E$142,"211",$CU$5:$CU$142)</f>
        <v>340075814</v>
      </c>
      <c r="CV148" s="186">
        <f>SUMIF($E$5:$E$142,"211",$CV$5:$CV$142)</f>
        <v>803275063</v>
      </c>
      <c r="CW148" s="186">
        <f>SUMIF($E$5:$E$142,"211",$CW$5:$CW$142)</f>
        <v>208708333</v>
      </c>
      <c r="CX148" s="186">
        <f>SUMIF($E$5:$E$142,"211",$CX$5:$CX$142)</f>
        <v>0</v>
      </c>
      <c r="CY148" s="186">
        <f>SUMIF($E$5:$E$142,"211",$CY$5:$CY$142)</f>
        <v>0</v>
      </c>
      <c r="CZ148" s="186">
        <f>SUMIF($E$5:$E$142,"211",$CZ$5:$CZ$142)</f>
        <v>144299911</v>
      </c>
      <c r="DA148" s="192">
        <f>SUMIF($E$5:$E$142,"211",$DA$5:$DA$142)</f>
        <v>698115387</v>
      </c>
      <c r="DB148" s="43">
        <f t="shared" si="169"/>
        <v>0.22598478104818187</v>
      </c>
      <c r="DC148" s="46">
        <f t="shared" ca="1" si="170"/>
        <v>1811220432</v>
      </c>
      <c r="DD148" s="189">
        <f ca="1">SUMIF($E$5:$E$143,"211",$DD$5:$DD$142)</f>
        <v>0</v>
      </c>
      <c r="DE148" s="189">
        <f>SUMIF($E$5:$E$142,"211",$DE$5:$DE$142)</f>
        <v>5000002</v>
      </c>
      <c r="DF148" s="189">
        <f>SUMIF($E$5:$E$142,"211",$DF$5:$DF$142)</f>
        <v>0</v>
      </c>
      <c r="DG148" s="189">
        <f>SUMIF($E$5:$E$142,"211",$DG$5:$DG$142)</f>
        <v>351047364</v>
      </c>
      <c r="DH148" s="189">
        <f>SUMIF($E$5:$E$142,"211",$DH$5:$DH$142)</f>
        <v>0</v>
      </c>
      <c r="DI148" s="189">
        <f>SUMIF($E$5:$E$142,"211",$DI$5:$DI$142)</f>
        <v>0</v>
      </c>
      <c r="DJ148" s="189">
        <f>SUMIF($E$5:$E$142,"211",$DJ$5:$DJ$142)</f>
        <v>7657442</v>
      </c>
      <c r="DK148" s="189">
        <f>SUMIF($E$5:$E$142,"211",$DK$5:$DK$142)</f>
        <v>383301800</v>
      </c>
      <c r="DL148" s="189">
        <f>SUMIF($E$5:$E$142,"211",$DL$5:$DL$142)</f>
        <v>322437044</v>
      </c>
      <c r="DM148" s="189">
        <f>SUMIF($E$5:$E$142,"211",$DM$5:$DM$142)</f>
        <v>115166507</v>
      </c>
      <c r="DN148" s="193">
        <f>SUMIF($E$5:$E$142,"211",$DN$5:$DN$142)</f>
        <v>95273766</v>
      </c>
      <c r="DO148" s="193">
        <f>SUMIF($E$5:$E$142,"211",$DO$5:$DO$142)</f>
        <v>0</v>
      </c>
      <c r="DP148" s="193">
        <f>SUMIF($E$5:$E$142,"211",$DP$5:$DP$142)</f>
        <v>50000000</v>
      </c>
      <c r="DQ148" s="193">
        <f>SUMIF($E$5:$E$142,"211",$DQ$5:$DQ$142)</f>
        <v>112491556</v>
      </c>
      <c r="DR148" s="193">
        <f>SUMIF($E$5:$E$142,"211",$DR$5:$DR$142)</f>
        <v>0</v>
      </c>
      <c r="DS148" s="193">
        <f>SUMIF($E$5:$E$142,"211",$DS$5:$DS$142)</f>
        <v>23591055</v>
      </c>
      <c r="DT148" s="193">
        <f>SUMIF($E$5:$E$142,"211",$DT$5:$DT$142)</f>
        <v>7730799</v>
      </c>
      <c r="DU148" s="193">
        <f>SUMIF($E$5:$E$142,"211",$DU$5:$DU$142)</f>
        <v>9324937</v>
      </c>
      <c r="DV148" s="193">
        <f>SUMIF($E$5:$E$142,"211",$DV$5:$DV$142)</f>
        <v>1470583</v>
      </c>
      <c r="DW148" s="193">
        <f>SUMIF($E$5:$E$142,"211",$DW$5:$DW$142)</f>
        <v>0</v>
      </c>
      <c r="DX148" s="193">
        <f>SUMIF($E$5:$E$142,"211",$DX$5:$DX$142)</f>
        <v>0</v>
      </c>
      <c r="DY148" s="193">
        <f>SUMIF($E$5:$E$142,"211",$DY$5:$DY$142)</f>
        <v>96724339</v>
      </c>
      <c r="DZ148" s="193">
        <f>SUMIF($E$5:$E$142,"211",$DZ$5:$DZ$142)</f>
        <v>230003238</v>
      </c>
      <c r="EB148" s="47">
        <f t="shared" si="171"/>
        <v>8014789419</v>
      </c>
      <c r="EC148" s="47">
        <f t="shared" si="172"/>
        <v>8014789419</v>
      </c>
      <c r="ED148" s="47">
        <f t="shared" ca="1" si="173"/>
        <v>8014789419</v>
      </c>
      <c r="EH148" s="237" t="s">
        <v>419</v>
      </c>
      <c r="EI148" s="63">
        <f>+G147</f>
        <v>13043802420</v>
      </c>
      <c r="EJ148" s="63">
        <f>+CD147</f>
        <v>1985521414</v>
      </c>
      <c r="EK148" s="241">
        <v>0.1522</v>
      </c>
    </row>
    <row r="149" spans="3:141" ht="18" customHeight="1" x14ac:dyDescent="0.3">
      <c r="C149" s="194"/>
      <c r="D149" s="184" t="s">
        <v>298</v>
      </c>
      <c r="E149" s="195">
        <v>301</v>
      </c>
      <c r="F149" s="185"/>
      <c r="G149" s="186">
        <f>SUMIF($E$5:$E$142,"301",$G$5:$G$142)</f>
        <v>3687641610</v>
      </c>
      <c r="H149" s="187">
        <f>SUMIF($E$5:$E$143,"301",$H$5:$H$143)</f>
        <v>444106222</v>
      </c>
      <c r="I149" s="187">
        <f>SUMIF($E$5:$E$143,"301",$I$5:$I$143)</f>
        <v>180000000</v>
      </c>
      <c r="J149" s="187">
        <f>SUMIF($E$5:$E$143,"301",$J$5:$J$143)</f>
        <v>0</v>
      </c>
      <c r="K149" s="187">
        <f>SUMIF($E$5:$E$143,"301",$K$5:$K$143)</f>
        <v>681816144</v>
      </c>
      <c r="L149" s="186">
        <f>SUMIF($E$5:$E$142,"301",$L$5:$L$142)</f>
        <v>0</v>
      </c>
      <c r="M149" s="185">
        <f>SUMIF($E$5:$E$142,"301",$M$5:$M$142)</f>
        <v>208000000</v>
      </c>
      <c r="N149" s="185">
        <f>SUMIF($E$5:$E$142,"301",$N$5:$N$142)</f>
        <v>0</v>
      </c>
      <c r="O149" s="185">
        <f>SUMIF($E$5:$E$142,"301",$O$5:$O$142)</f>
        <v>0</v>
      </c>
      <c r="P149" s="185">
        <f>SUMIF($E$5:$E$142,"301",$P$5:$P$142)</f>
        <v>0</v>
      </c>
      <c r="Q149" s="185">
        <f>SUMIF($E$5:$E$142,"301",$Q$5:$Q$142)</f>
        <v>0</v>
      </c>
      <c r="R149" s="185">
        <f>SUMIF($E$5:$E$142,"301",$R$5:$R$142)</f>
        <v>0</v>
      </c>
      <c r="S149" s="185">
        <f>SUMIF($E$5:$E$142,"301",$S$5:$S$142)</f>
        <v>0</v>
      </c>
      <c r="T149" s="185">
        <f>SUMIF($E$5:$E$142,"301",$T$5:$T$142)</f>
        <v>0</v>
      </c>
      <c r="U149" s="185">
        <f>SUMIF($E$5:$E$142,"301",$U$5:$U$142)</f>
        <v>0</v>
      </c>
      <c r="V149" s="185">
        <f>SUMIF($E$5:$E$142,"301",$V$5:$V$142)</f>
        <v>0</v>
      </c>
      <c r="W149" s="185">
        <f>SUMIF($E$5:$E$142,"301",$W$5:$W$142)</f>
        <v>0</v>
      </c>
      <c r="X149" s="185">
        <f>SUMIF($E$5:$E$142,"301",$X$5:$X$142)</f>
        <v>100000000</v>
      </c>
      <c r="Y149" s="185">
        <f>SUMIF($E$5:$E$142,"301",$Y$5:$Y$142)</f>
        <v>32712008</v>
      </c>
      <c r="Z149" s="185">
        <f>SUMIF($E$5:$E$142,"301",$Z$5:$Z$142)</f>
        <v>114788955</v>
      </c>
      <c r="AA149" s="185">
        <f>SUMIF($E$5:$E$142,"301",$AA$5:$AA$142)</f>
        <v>1770728185</v>
      </c>
      <c r="AB149" s="185"/>
      <c r="AC149" s="185">
        <f>SUMIF($E$5:$E$142,"301",$AC$5:$AC$142)</f>
        <v>0</v>
      </c>
      <c r="AD149" s="185">
        <f>SUMIF($E$5:$E$142,"301",$AD$5:$AD$142)</f>
        <v>155490096</v>
      </c>
      <c r="AE149" s="188">
        <f t="shared" si="164"/>
        <v>0.99019739854817401</v>
      </c>
      <c r="AF149" s="186">
        <f>SUMIF($E$5:$E$142,"301",$AF$5:$AF$142)</f>
        <v>3651493129</v>
      </c>
      <c r="AG149" s="186">
        <f>SUMIF($E$5:$E$142,"301",$AG$5:$AG$142)</f>
        <v>443770850</v>
      </c>
      <c r="AH149" s="186">
        <f>SUMIF($E$5:$E$142,"301",$AH$5:$AH$142)</f>
        <v>179513390</v>
      </c>
      <c r="AI149" s="186">
        <f>SUMIF($E$5:$E$142,"301",$AI$5:$AI$142)</f>
        <v>0</v>
      </c>
      <c r="AJ149" s="186">
        <f>SUMIF($E$5:$E$142,"301",$AJ$5:$AJ$142)</f>
        <v>681816144</v>
      </c>
      <c r="AK149" s="186">
        <f>SUMIF($E$5:$E$142,"301",$AK$5:$AK$142)</f>
        <v>0</v>
      </c>
      <c r="AL149" s="186">
        <f>SUMIF($E$5:$E$142,"301",$AL$5:$AL$142)</f>
        <v>200411327</v>
      </c>
      <c r="AM149" s="186">
        <f>SUMIF($E$5:$E$142,"301",$AM$5:$AM$142)</f>
        <v>0</v>
      </c>
      <c r="AN149" s="186">
        <f>SUMIF($E$5:$E$142,"301",$AN$5:$AN$142)</f>
        <v>0</v>
      </c>
      <c r="AO149" s="186">
        <f>SUMIF($E$5:$E$142,"301",$AO$5:$AO$142)</f>
        <v>0</v>
      </c>
      <c r="AP149" s="186">
        <f>SUMIF($E$5:$E$142,"301",$AP$5:$AP$142)</f>
        <v>0</v>
      </c>
      <c r="AQ149" s="186">
        <f>SUMIF($E$5:$E$142,"301",$AQ$5:$AQ$142)</f>
        <v>0</v>
      </c>
      <c r="AR149" s="186">
        <f>SUMIF($E$5:$E$142,"301",$AR$5:$AR$142)</f>
        <v>0</v>
      </c>
      <c r="AS149" s="186">
        <f>SUMIF($E$5:$E$142,"301",$AS$5:$AS$142)</f>
        <v>0</v>
      </c>
      <c r="AT149" s="186">
        <f>SUMIF($E$5:$E$142,"301",$AT$5:$AT$142)</f>
        <v>0</v>
      </c>
      <c r="AU149" s="186">
        <f>SUMIF($E$5:$E$142,"301",$AU$5:$AU$142)</f>
        <v>0</v>
      </c>
      <c r="AV149" s="186">
        <f>SUMIF($E$5:$E$142,"301",$AV$5:$AV$142)</f>
        <v>0</v>
      </c>
      <c r="AW149" s="186">
        <f>SUMIF($E$5:$E$142,"301",$AW$5:$AW$142)</f>
        <v>98046000</v>
      </c>
      <c r="AX149" s="186">
        <f>SUMIF($E$5:$E$142,"301",$AX$5:$AX$142)</f>
        <v>32712008</v>
      </c>
      <c r="AY149" s="186">
        <f>SUMIF($E$5:$E$142,"301",$AY$5:$AY$142)</f>
        <v>110941940</v>
      </c>
      <c r="AZ149" s="186">
        <f>SUMIF($E$5:$E$142,"301",$AZ$5:$AZ$142)</f>
        <v>1757659170</v>
      </c>
      <c r="BA149" s="186">
        <f>SUMIF($E$5:$E$142,"301",$BA$5:$BA$142)</f>
        <v>0</v>
      </c>
      <c r="BB149" s="186">
        <f>SUMIF($E$5:$E$142,"301",$BB$5:$BB$142)</f>
        <v>0</v>
      </c>
      <c r="BC149" s="186">
        <f>SUMIF($E$5:$E$142,"301",$BC$5:$BC$142)</f>
        <v>146622300</v>
      </c>
      <c r="BD149" s="171">
        <f t="shared" si="165"/>
        <v>9.8026014518259874E-3</v>
      </c>
      <c r="BE149" s="46">
        <f t="shared" si="166"/>
        <v>36148481</v>
      </c>
      <c r="BF149" s="189">
        <f>SUMIF($E$5:$E$142,"301",$BF$5:$BF$142)</f>
        <v>335372</v>
      </c>
      <c r="BG149" s="189">
        <f>SUMIF($E$5:$E$142,"301",$BG$5:$BG$142)</f>
        <v>486610</v>
      </c>
      <c r="BH149" s="189">
        <f>SUMIF($E$5:$E$142,"301",$BH$5:$BH$142)</f>
        <v>0</v>
      </c>
      <c r="BI149" s="189">
        <f>SUMIF($E$5:$E$142,"301",$BI$5:$BI$142)</f>
        <v>0</v>
      </c>
      <c r="BJ149" s="189">
        <f>SUMIF($E$5:$E$142,"301",$BJ$5:$BJ$142)</f>
        <v>0</v>
      </c>
      <c r="BK149" s="189">
        <f>SUMIF($E$5:$E$142,"301",$BK$5:$BK$142)</f>
        <v>7588673</v>
      </c>
      <c r="BL149" s="189">
        <f>SUMIF($E$5:$E$142,"301",$BL$5:$BL$142)</f>
        <v>0</v>
      </c>
      <c r="BM149" s="189">
        <f>SUMIF($E$5:$E$142,"301",$BM$5:$BM$142)</f>
        <v>0</v>
      </c>
      <c r="BN149" s="189">
        <f>SUMIF($E$5:$E$142,"301",$BN$5:$BN$142)</f>
        <v>0</v>
      </c>
      <c r="BO149" s="189">
        <f>SUMIF($E$5:$E$142,"301",$BO$5:$BO$142)</f>
        <v>0</v>
      </c>
      <c r="BP149" s="189">
        <f>SUMIF($E$5:$E$142,"301",$BP$5:$BP$142)</f>
        <v>0</v>
      </c>
      <c r="BQ149" s="189">
        <f>SUMIF($E$5:$E$142,"301",$BQ$5:$BQ$142)</f>
        <v>0</v>
      </c>
      <c r="BR149" s="189">
        <f>SUMIF($E$5:$E$142,"301",$BR$5:$BR$142)</f>
        <v>0</v>
      </c>
      <c r="BS149" s="189">
        <f>SUMIF($E$5:$E$142,"301",$BS$5:$BS$142)</f>
        <v>0</v>
      </c>
      <c r="BT149" s="189">
        <f>SUMIF($E$5:$E$142,"301",$BT$5:$BT$142)</f>
        <v>0</v>
      </c>
      <c r="BU149" s="189">
        <f>SUMIF($E$5:$E$142,"301",$BU$5:$BU$142)</f>
        <v>0</v>
      </c>
      <c r="BV149" s="189">
        <f>SUMIF($E$5:$E$142,"301",$BV$5:$BV$142)</f>
        <v>1954000</v>
      </c>
      <c r="BW149" s="189">
        <f>SUMIF($E$5:$E$142,"301",$BW$5:$BW$142)</f>
        <v>0</v>
      </c>
      <c r="BX149" s="189">
        <f>SUMIF($E$5:$E$142,"301",$BX$5:$BX$142)</f>
        <v>3847015</v>
      </c>
      <c r="BY149" s="189">
        <f>SUMIF($E$5:$E$142,"301",$BY$5:$BY$142)</f>
        <v>13069015</v>
      </c>
      <c r="BZ149" s="189">
        <f>SUMIF($E$5:$E$142,"301",$BZ$5:$BZ$142)</f>
        <v>0</v>
      </c>
      <c r="CA149" s="189">
        <f>SUMIF($E$5:$E$142,"301",$CA$5:$CA$142)</f>
        <v>0</v>
      </c>
      <c r="CB149" s="190">
        <f>SUMIF($E$5:$E$142,"301",$CB$5:$CB$142)</f>
        <v>8867796</v>
      </c>
      <c r="CC149" s="191">
        <f t="shared" si="167"/>
        <v>0.80598386077978978</v>
      </c>
      <c r="CD149" s="58">
        <f t="shared" si="168"/>
        <v>2972179622</v>
      </c>
      <c r="CE149" s="186">
        <f>SUMIF($E$5:$E$142,"301",$CE$5:$CE$142)</f>
        <v>443770850</v>
      </c>
      <c r="CF149" s="186">
        <f>SUMIF($E$5:$E$142,"301",$CF$5:$CF$142)</f>
        <v>177113390</v>
      </c>
      <c r="CG149" s="186">
        <f>SUMIF($E$5:$E$142,"301",$CG$5:$CG$142)</f>
        <v>0</v>
      </c>
      <c r="CH149" s="186">
        <f>SUMIF($E$5:$E$142,"301",$CH$5:$CH$142)</f>
        <v>155239307</v>
      </c>
      <c r="CI149" s="186">
        <f>SUMIF($E$5:$E$142,"301",$CI$5:$CI$142)</f>
        <v>0</v>
      </c>
      <c r="CJ149" s="186">
        <f>SUMIF($E$5:$E$142,"301",$CJ$5:$CJ$142)</f>
        <v>205876669</v>
      </c>
      <c r="CK149" s="186">
        <f>SUMIF($E$5:$E$142,"301",$CK$5:$CK$142)</f>
        <v>0</v>
      </c>
      <c r="CL149" s="186">
        <f>SUMIF($E$5:$E$142,"301",$CL$5:$CL$142)</f>
        <v>0</v>
      </c>
      <c r="CM149" s="186">
        <f>SUMIF($E$5:$E$142,"301",$CM$5:$CM$142)</f>
        <v>0</v>
      </c>
      <c r="CN149" s="186">
        <f>SUMIF($E$5:$E$142,"301",$CN$5:$CN$142)</f>
        <v>0</v>
      </c>
      <c r="CO149" s="186">
        <f>SUMIF($E$5:$E$142,"301",$CO$5:$CO$142)</f>
        <v>0</v>
      </c>
      <c r="CP149" s="186">
        <f>SUMIF($E$5:$E$142,"301",$CP$5:$CP$142)</f>
        <v>0</v>
      </c>
      <c r="CQ149" s="186">
        <f>SUMIF($E$5:$E$142,"301",$CQ$5:$CQ$142)</f>
        <v>0</v>
      </c>
      <c r="CR149" s="186">
        <f>SUMIF($E$5:$E$142,"301",$CR$5:$CR$142)</f>
        <v>0</v>
      </c>
      <c r="CS149" s="186">
        <f>SUMIF($E$5:$E$142,"301",$CS$5:$CS$142)</f>
        <v>0</v>
      </c>
      <c r="CT149" s="186">
        <f>SUMIF($E$5:$E$142,"301",$CT$5:$CT$142)</f>
        <v>0</v>
      </c>
      <c r="CU149" s="186">
        <f>SUMIF($E$5:$E$142,"301",$CU$5:$CU$142)</f>
        <v>96846000</v>
      </c>
      <c r="CV149" s="186">
        <f>SUMIF($E$5:$E$142,"301",$CV$5:$CV$142)</f>
        <v>27246666</v>
      </c>
      <c r="CW149" s="186">
        <f>SUMIF($E$5:$E$142,"301",$CW$5:$CW$142)</f>
        <v>50941940</v>
      </c>
      <c r="CX149" s="186">
        <f>SUMIF($E$5:$E$142,"301",$CX$5:$CX$142)</f>
        <v>1717036386</v>
      </c>
      <c r="CY149" s="186">
        <f>SUMIF($E$5:$E$142,"301",$CY$5:$CY$142)</f>
        <v>0</v>
      </c>
      <c r="CZ149" s="186">
        <f>SUMIF($E$5:$E$142,"301",$CZ$5:$CZ$142)</f>
        <v>0</v>
      </c>
      <c r="DA149" s="192">
        <f>SUMIF($E$5:$E$142,"301",$DA$5:$DA$142)</f>
        <v>98108414</v>
      </c>
      <c r="DB149" s="43">
        <f t="shared" si="169"/>
        <v>0.19401613922021022</v>
      </c>
      <c r="DC149" s="46">
        <f t="shared" ca="1" si="170"/>
        <v>715461988</v>
      </c>
      <c r="DD149" s="189">
        <f ca="1">SUMIF($E$5:$E$143,"301",$DD$5:$DD$142)</f>
        <v>335372</v>
      </c>
      <c r="DE149" s="189">
        <f>SUMIF($E$5:$E$142,"301",$DE$5:$DE$142)</f>
        <v>2886610</v>
      </c>
      <c r="DF149" s="189">
        <f>SUMIF($E$5:$E$142,"301",$DF$5:$DF$142)</f>
        <v>0</v>
      </c>
      <c r="DG149" s="189">
        <f>SUMIF($E$5:$E$142,"301",$DG$5:$DG$142)</f>
        <v>526576837</v>
      </c>
      <c r="DH149" s="189">
        <f>SUMIF($E$5:$E$142,"301",$DH$5:$DH$142)</f>
        <v>0</v>
      </c>
      <c r="DI149" s="189">
        <f>SUMIF($E$5:$E$142,"301",$DI$5:$DI$142)</f>
        <v>2123331</v>
      </c>
      <c r="DJ149" s="189">
        <f>SUMIF($E$5:$E$142,"301",$DJ$5:$DJ$142)</f>
        <v>0</v>
      </c>
      <c r="DK149" s="189">
        <f>SUMIF($E$5:$E$142,"301",$DK$5:$DK$142)</f>
        <v>0</v>
      </c>
      <c r="DL149" s="189">
        <f>SUMIF($E$5:$E$142,"301",$DL$5:$DL$142)</f>
        <v>0</v>
      </c>
      <c r="DM149" s="189">
        <f>SUMIF($E$5:$E$142,"301",$DM$5:$DM$142)</f>
        <v>0</v>
      </c>
      <c r="DN149" s="193">
        <f>SUMIF($E$5:$E$142,"301",$DN$5:$DN$142)</f>
        <v>0</v>
      </c>
      <c r="DO149" s="193">
        <f>SUMIF($E$5:$E$142,"301",$DO$5:$DO$142)</f>
        <v>0</v>
      </c>
      <c r="DP149" s="193">
        <f>SUMIF($E$5:$E$142,"301",$DP$5:$DP$142)</f>
        <v>0</v>
      </c>
      <c r="DQ149" s="193">
        <f>SUMIF($E$5:$E$142,"301",$DQ$5:$DQ$142)</f>
        <v>0</v>
      </c>
      <c r="DR149" s="193">
        <f>SUMIF($E$5:$E$142,"301",$DR$5:$DR$142)</f>
        <v>0</v>
      </c>
      <c r="DS149" s="193">
        <f>SUMIF($E$5:$E$142,"301",$DS$5:$DS$142)</f>
        <v>0</v>
      </c>
      <c r="DT149" s="193">
        <f>SUMIF($E$5:$E$142,"301",$DT$5:$DT$142)</f>
        <v>3154000</v>
      </c>
      <c r="DU149" s="193">
        <f>SUMIF($E$5:$E$142,"301",$DU$5:$DU$142)</f>
        <v>5465342</v>
      </c>
      <c r="DV149" s="193">
        <f>SUMIF($E$5:$E$142,"301",$DV$5:$DV$142)</f>
        <v>63847015</v>
      </c>
      <c r="DW149" s="193">
        <f>SUMIF($E$5:$E$142,"301",$DW$5:$DW$142)</f>
        <v>53691799</v>
      </c>
      <c r="DX149" s="193">
        <f>SUMIF($E$5:$E$142,"301",$DX$5:$DX$142)</f>
        <v>0</v>
      </c>
      <c r="DY149" s="193">
        <f>SUMIF($E$5:$E$142,"301",$DY$5:$DY$142)</f>
        <v>0</v>
      </c>
      <c r="DZ149" s="193">
        <f>SUMIF($E$5:$E$142,"301",$DZ$5:$DZ$142)</f>
        <v>57381682</v>
      </c>
      <c r="EB149" s="47">
        <f t="shared" si="171"/>
        <v>3687641610</v>
      </c>
      <c r="EC149" s="47">
        <f t="shared" si="172"/>
        <v>3687641610</v>
      </c>
      <c r="ED149" s="47">
        <f t="shared" ca="1" si="173"/>
        <v>3687641610</v>
      </c>
      <c r="EH149" s="237" t="s">
        <v>420</v>
      </c>
      <c r="EI149" s="63">
        <f t="shared" ref="EI149:EI154" si="174">+G148</f>
        <v>8014789419</v>
      </c>
      <c r="EJ149" s="63">
        <f t="shared" ref="EJ149:EJ154" si="175">+CD148</f>
        <v>6203568987</v>
      </c>
      <c r="EK149" s="241">
        <v>0.77400000000000002</v>
      </c>
    </row>
    <row r="150" spans="3:141" ht="16.5" customHeight="1" x14ac:dyDescent="0.3">
      <c r="C150" s="194"/>
      <c r="D150" s="184" t="s">
        <v>401</v>
      </c>
      <c r="E150" s="177">
        <v>310</v>
      </c>
      <c r="F150" s="185"/>
      <c r="G150" s="186">
        <f>SUMIF($E$5:$E$142,"310",$G$5:$G$142)</f>
        <v>1076000000</v>
      </c>
      <c r="H150" s="187">
        <f>SUMIF($E$5:$E$142,"310",$H$5:$H$142)</f>
        <v>0</v>
      </c>
      <c r="I150" s="187">
        <f>SUMIF($E$5:$E$142,"310",$I$5:$I$142)</f>
        <v>540000000</v>
      </c>
      <c r="J150" s="187">
        <f>SUMIF($E$5:$E$143,"310",$J$5:$J$143)</f>
        <v>0</v>
      </c>
      <c r="K150" s="187">
        <f>SUMIF($E$5:$E$143,"310",$K$5:$K$143)</f>
        <v>300000000</v>
      </c>
      <c r="L150" s="186">
        <f>SUMIF($E$5:$E$142,"310",$L$5:$L$142)</f>
        <v>0</v>
      </c>
      <c r="M150" s="185">
        <f>SUMIF($E$5:$E$142,"310",$M$5:$M$142)</f>
        <v>0</v>
      </c>
      <c r="N150" s="185">
        <f>SUMIF($E$5:$E$142,"310",$N$5:$N$142)</f>
        <v>0</v>
      </c>
      <c r="O150" s="185">
        <f>SUMIF($E$5:$E$142,"310",$O$5:$O$142)</f>
        <v>0</v>
      </c>
      <c r="P150" s="185">
        <f>SUMIF($E$5:$E$142,"310",$P$5:$P$142)</f>
        <v>0</v>
      </c>
      <c r="Q150" s="185">
        <f>SUMIF($E$5:$E$142,"310",$Q$5:$Q$142)</f>
        <v>0</v>
      </c>
      <c r="R150" s="185">
        <f>SUMIF($E$5:$E$142,"310",$R$5:$R$142)</f>
        <v>0</v>
      </c>
      <c r="S150" s="185">
        <f>SUMIF($E$5:$E$142,"310",$S$5:$S$142)</f>
        <v>0</v>
      </c>
      <c r="T150" s="185">
        <f>SUMIF($E$5:$E$142,"310",$T$5:$T$142)</f>
        <v>0</v>
      </c>
      <c r="U150" s="185">
        <f>SUMIF($E$5:$E$142,"310",$U$5:$U$142)</f>
        <v>0</v>
      </c>
      <c r="V150" s="185">
        <f>SUMIF($E$5:$E$142,"310",$V$5:$V$142)</f>
        <v>0</v>
      </c>
      <c r="W150" s="185">
        <f>SUMIF($E$5:$E$142,"310",$W$5:$W$142)</f>
        <v>0</v>
      </c>
      <c r="X150" s="185">
        <f>SUMIF($E$5:$E$142,"310",$X$5:$X$142)</f>
        <v>76000000</v>
      </c>
      <c r="Y150" s="185">
        <f>SUMIF($E$5:$E$142,"310",$Y$5:$Y$142)</f>
        <v>54000000</v>
      </c>
      <c r="Z150" s="185">
        <f>SUMIF($E$5:$E$142,"310",$Z$5:$Z$142)</f>
        <v>0</v>
      </c>
      <c r="AA150" s="185">
        <f>SUMIF($E$5:$E$131,"310",$AA$5:$AA$131)</f>
        <v>0</v>
      </c>
      <c r="AB150" s="185"/>
      <c r="AC150" s="185">
        <f>SUMIF($E$5:$E$142,"310",$AC$5:$AC$142)</f>
        <v>0</v>
      </c>
      <c r="AD150" s="185">
        <f>SUMIF($E$5:$E$142,"310",$AD$5:$AD$142)</f>
        <v>106000000</v>
      </c>
      <c r="AE150" s="188">
        <f t="shared" si="164"/>
        <v>0.93353468215613378</v>
      </c>
      <c r="AF150" s="186">
        <f>SUMIF($E$5:$E$142,"310",$AF$5:$AF$142)</f>
        <v>1004483318</v>
      </c>
      <c r="AG150" s="186">
        <f>SUMIF($E$5:$E$142,"310",$AG$5:$AG$142)</f>
        <v>0</v>
      </c>
      <c r="AH150" s="186">
        <f>SUMIF($E$5:$E$142,"310",$AH$5:$AH$142)</f>
        <v>535345383</v>
      </c>
      <c r="AI150" s="186">
        <f>SUMIF($E$5:$E$142,"310",$AI$5:$AI$142)</f>
        <v>0</v>
      </c>
      <c r="AJ150" s="186">
        <f>SUMIF($E$5:$E$142,"310",$AJ$5:$AJ$142)</f>
        <v>300000000</v>
      </c>
      <c r="AK150" s="186">
        <f>SUMIF($E$5:$E$142,"310",$AK$5:$AK$142)</f>
        <v>0</v>
      </c>
      <c r="AL150" s="186">
        <f>SUMIF($E$5:$E$142,"310",$AL$5:$AL$142)</f>
        <v>0</v>
      </c>
      <c r="AM150" s="186">
        <f>SUMIF($E$5:$E$142,"310",$AM$5:$AM$142)</f>
        <v>0</v>
      </c>
      <c r="AN150" s="186">
        <f>SUMIF($E$5:$E$142,"310",$AN$5:$AN$142)</f>
        <v>0</v>
      </c>
      <c r="AO150" s="186">
        <f>SUMIF($E$5:$E$142,"310",$AO$5:$AO$142)</f>
        <v>0</v>
      </c>
      <c r="AP150" s="186">
        <f>SUMIF($E$5:$E$142,"310",$AP$5:$AP$142)</f>
        <v>0</v>
      </c>
      <c r="AQ150" s="186">
        <f>SUMIF($E$5:$E$142,"310",$AQ$5:$AQ$142)</f>
        <v>0</v>
      </c>
      <c r="AR150" s="186">
        <f>SUMIF($E$5:$E$142,"310",$AR$5:$AR$142)</f>
        <v>0</v>
      </c>
      <c r="AS150" s="186">
        <f>SUMIF($E$5:$E$142,"310",$AS$5:$AS$142)</f>
        <v>0</v>
      </c>
      <c r="AT150" s="186">
        <f>SUMIF($E$5:$E$142,"310",$AT$5:$AT$142)</f>
        <v>0</v>
      </c>
      <c r="AU150" s="186">
        <f>SUMIF($E$5:$E$142,"310",$AU$5:$AU$142)</f>
        <v>0</v>
      </c>
      <c r="AV150" s="186">
        <f>SUMIF($E$5:$E$142,"310",$AV$5:$AV$142)</f>
        <v>0</v>
      </c>
      <c r="AW150" s="186">
        <f>SUMIF($E$5:$E$142,"310",$AW$5:$AW$142)</f>
        <v>69170000</v>
      </c>
      <c r="AX150" s="186">
        <f>SUMIF($E$5:$E$142,"310",$AX$5:$AX$142)</f>
        <v>20000000</v>
      </c>
      <c r="AY150" s="186">
        <f>SUMIF($E$5:$E$142,"310",$AY$5:$AY$142)</f>
        <v>0</v>
      </c>
      <c r="AZ150" s="186">
        <f>SUMIF($E$5:$E$142,"310",$AZ$5:$AZ$142)</f>
        <v>0</v>
      </c>
      <c r="BA150" s="186">
        <f>SUMIF($E$5:$E$142,"310",$BA$5:$BA$142)</f>
        <v>0</v>
      </c>
      <c r="BB150" s="186">
        <f>SUMIF($E$5:$E$142,"310",$BB$5:$BB$142)</f>
        <v>0</v>
      </c>
      <c r="BC150" s="186">
        <f>SUMIF($E$5:$E$142,"310",$BC$5:$BC$142)</f>
        <v>79967935</v>
      </c>
      <c r="BD150" s="171">
        <f t="shared" si="165"/>
        <v>6.6465317843866223E-2</v>
      </c>
      <c r="BE150" s="46">
        <f t="shared" si="166"/>
        <v>71516682</v>
      </c>
      <c r="BF150" s="189">
        <f>SUMIF($E$5:$E$142,"310",$BF$5:$BF$142)</f>
        <v>0</v>
      </c>
      <c r="BG150" s="189">
        <f>SUMIF($E$5:$E$142,"310",$BG$5:$BG$142)</f>
        <v>4654617</v>
      </c>
      <c r="BH150" s="189">
        <f>SUMIF($E$5:$E$142,"310",$BH$5:$BH$142)</f>
        <v>0</v>
      </c>
      <c r="BI150" s="189">
        <f>SUMIF($E$5:$E$142,"310",$BI$5:$BI$142)</f>
        <v>0</v>
      </c>
      <c r="BJ150" s="189">
        <f>SUMIF($E$5:$E$142,"310",$BJ$5:$BJ$142)</f>
        <v>0</v>
      </c>
      <c r="BK150" s="189">
        <f>SUMIF($E$5:$E$142,"310",$BK$5:$BK$142)</f>
        <v>0</v>
      </c>
      <c r="BL150" s="189">
        <f>SUMIF($E$5:$E$142,"310",$BL$5:$BL$142)</f>
        <v>0</v>
      </c>
      <c r="BM150" s="189">
        <f>SUMIF($E$5:$E$142,"310",$BM$5:$BM$142)</f>
        <v>0</v>
      </c>
      <c r="BN150" s="189">
        <f>SUMIF($E$5:$E$142,"310",$BN$5:$BN$142)</f>
        <v>0</v>
      </c>
      <c r="BO150" s="189">
        <f>SUMIF($E$5:$E$142,"310",$BO$5:$BO$142)</f>
        <v>0</v>
      </c>
      <c r="BP150" s="189">
        <f>SUMIF($E$5:$E$142,"310",$BP$5:$BP$142)</f>
        <v>0</v>
      </c>
      <c r="BQ150" s="189">
        <f>SUMIF($E$5:$E$142,"310",$BQ$5:$BQ$142)</f>
        <v>0</v>
      </c>
      <c r="BR150" s="189">
        <f>SUMIF($E$5:$E$142,"310",$BR$5:$BR$142)</f>
        <v>0</v>
      </c>
      <c r="BS150" s="189">
        <f>SUMIF($E$5:$E$142,"310",$BS$5:$BS$142)</f>
        <v>0</v>
      </c>
      <c r="BT150" s="189">
        <f>SUMIF($E$5:$E$142,"310",$BT$5:$BT$142)</f>
        <v>0</v>
      </c>
      <c r="BU150" s="189">
        <f>SUMIF($E$5:$E$142,"310",$BU$5:$BU$142)</f>
        <v>0</v>
      </c>
      <c r="BV150" s="189">
        <f>SUMIF($E$5:$E$142,"310",$BV$5:$BV$142)</f>
        <v>6830000</v>
      </c>
      <c r="BW150" s="189">
        <f>SUMIF($E$5:$E$142,"310",$BW$5:$BW$142)</f>
        <v>34000000</v>
      </c>
      <c r="BX150" s="189">
        <f>SUMIF($E$5:$E$142,"310",$BX$5:$BX$142)</f>
        <v>0</v>
      </c>
      <c r="BY150" s="189">
        <f>SUMIF($E$5:$E$142,"310",$BY$5:$BY$142)</f>
        <v>0</v>
      </c>
      <c r="BZ150" s="189">
        <f>SUMIF($E$5:$E$142,"310",$BZ$5:$BZ$142)</f>
        <v>0</v>
      </c>
      <c r="CA150" s="189">
        <f>SUMIF($E$5:$E$142,"310",$CA$5:$CA$142)</f>
        <v>0</v>
      </c>
      <c r="CB150" s="190">
        <f>SUMIF($E$5:$E$142,"310",$CB$5:$CB$142)</f>
        <v>26032065</v>
      </c>
      <c r="CC150" s="191">
        <f t="shared" si="167"/>
        <v>0.67164842193308549</v>
      </c>
      <c r="CD150" s="58">
        <f t="shared" si="168"/>
        <v>722693702</v>
      </c>
      <c r="CE150" s="186">
        <f>SUMIF($E$5:$E$142,"310",$CE$5:$CE$142)</f>
        <v>0</v>
      </c>
      <c r="CF150" s="186">
        <f>SUMIF($E$5:$E$142,"310",$CF$5:$CF$142)</f>
        <v>489094917</v>
      </c>
      <c r="CG150" s="186">
        <f>SUMIF($E$5:$E$142,"310",$CG$5:$CG$142)</f>
        <v>0</v>
      </c>
      <c r="CH150" s="186">
        <f>SUMIF($E$5:$E$142,"310",$CH$5:$CH$142)</f>
        <v>132009543</v>
      </c>
      <c r="CI150" s="186">
        <f>SUMIF($E$5:$E$142,"310",$CI$5:$CI$142)</f>
        <v>0</v>
      </c>
      <c r="CJ150" s="186">
        <f>SUMIF($E$5:$E$142,"310",$CJ$5:$CJ$142)</f>
        <v>0</v>
      </c>
      <c r="CK150" s="186">
        <f>SUMIF($E$5:$E$142,"310",$CK$5:$CK$142)</f>
        <v>0</v>
      </c>
      <c r="CL150" s="186">
        <f>SUMIF($E$5:$E$142,"310",$CL$5:$CL$142)</f>
        <v>0</v>
      </c>
      <c r="CM150" s="186">
        <f>SUMIF($E$5:$E$142,"310",$CM$5:$CM$142)</f>
        <v>0</v>
      </c>
      <c r="CN150" s="186">
        <f>SUMIF($E$5:$E$142,"310",$CN$5:$CN$142)</f>
        <v>0</v>
      </c>
      <c r="CO150" s="186">
        <f>SUMIF($E$5:$E$142,"310",$CO$5:$CO$142)</f>
        <v>0</v>
      </c>
      <c r="CP150" s="186">
        <f>SUMIF($E$5:$E$142,"310",$CP$5:$CP$142)</f>
        <v>0</v>
      </c>
      <c r="CQ150" s="186">
        <f>SUMIF($E$5:$E$142,"310",$CQ$5:$CQ$142)</f>
        <v>0</v>
      </c>
      <c r="CR150" s="186">
        <f>SUMIF($E$5:$E$142,"310",$CR$5:$CR$142)</f>
        <v>0</v>
      </c>
      <c r="CS150" s="186">
        <f>SUMIF($E$5:$E$142,"310",$CS$5:$CS$142)</f>
        <v>0</v>
      </c>
      <c r="CT150" s="186">
        <f>SUMIF($E$5:$E$142,"310",$CT$5:$CT$142)</f>
        <v>0</v>
      </c>
      <c r="CU150" s="186">
        <f>SUMIF($E$5:$E$142,"310",$CU$5:$CU$142)</f>
        <v>52284785</v>
      </c>
      <c r="CV150" s="186">
        <f>SUMIF($E$5:$E$142,"310",$CV$5:$CV$142)</f>
        <v>3500000</v>
      </c>
      <c r="CW150" s="186">
        <f>SUMIF($E$5:$E$142,"310",$CW$5:$CW$142)</f>
        <v>0</v>
      </c>
      <c r="CX150" s="186">
        <f>SUMIF($E$5:$E$142,"310",$CX$5:$CX$142)</f>
        <v>0</v>
      </c>
      <c r="CY150" s="186">
        <f>SUMIF($E$5:$E$142,"310",$CY$5:$CY$142)</f>
        <v>0</v>
      </c>
      <c r="CZ150" s="186">
        <f>SUMIF($E$5:$E$142,"310",$CZ$5:$CZ$142)</f>
        <v>0</v>
      </c>
      <c r="DA150" s="192">
        <f>SUMIF($E$5:$E$142,"310",$DA$5:$DA$142)</f>
        <v>45804457</v>
      </c>
      <c r="DB150" s="43">
        <f t="shared" si="169"/>
        <v>0.32835157806691451</v>
      </c>
      <c r="DC150" s="46">
        <f t="shared" si="170"/>
        <v>353306298</v>
      </c>
      <c r="DD150" s="189">
        <f>SUMIF($E$5:$E$142,"310",$DD$5:$DD$142)</f>
        <v>0</v>
      </c>
      <c r="DE150" s="189">
        <f>SUMIF($E$5:$E$142,"310",$DE$5:$DE$142)</f>
        <v>50905083</v>
      </c>
      <c r="DF150" s="189">
        <f>SUMIF($E$5:$E$142,"310",$DF$5:$DF$142)</f>
        <v>0</v>
      </c>
      <c r="DG150" s="189">
        <f>SUMIF($E$5:$E$142,"310",$DG$5:$DG$142)</f>
        <v>167990457</v>
      </c>
      <c r="DH150" s="189">
        <f>SUMIF($E$5:$E$142,"310",$DH$5:$DH$142)</f>
        <v>0</v>
      </c>
      <c r="DI150" s="189">
        <f>SUMIF($E$5:$E$142,"310",$DI$5:$DI$142)</f>
        <v>0</v>
      </c>
      <c r="DJ150" s="189">
        <f>SUMIF($E$5:$E$142,"310",$DJ$5:$DJ$142)</f>
        <v>0</v>
      </c>
      <c r="DK150" s="189">
        <f>SUMIF($E$5:$E$142,"310",$DK$5:$DK$142)</f>
        <v>0</v>
      </c>
      <c r="DL150" s="189">
        <f>SUMIF($E$5:$E$142,"310",$DL$5:$DL$142)</f>
        <v>0</v>
      </c>
      <c r="DM150" s="189">
        <f>SUMIF($E$5:$E$142,"310",$DM$5:$DM$142)</f>
        <v>0</v>
      </c>
      <c r="DN150" s="193">
        <f>SUMIF($E$5:$E$142,"310",$DN$5:$DN$142)</f>
        <v>0</v>
      </c>
      <c r="DO150" s="193">
        <f>SUMIF($E$5:$E$142,"310",$DO$5:$DO$142)</f>
        <v>0</v>
      </c>
      <c r="DP150" s="193">
        <f>SUMIF($E$5:$E$142,"310",$DP$5:$DP$142)</f>
        <v>0</v>
      </c>
      <c r="DQ150" s="193">
        <f>SUMIF($E$5:$E$142,"310",$DQ$5:$DQ$142)</f>
        <v>0</v>
      </c>
      <c r="DR150" s="193">
        <f>SUMIF($E$5:$E$142,"310",$DR$5:$DR$142)</f>
        <v>0</v>
      </c>
      <c r="DS150" s="193">
        <f>SUMIF($E$5:$E$142,"310",$DS$5:$DS$142)</f>
        <v>0</v>
      </c>
      <c r="DT150" s="193">
        <f>SUMIF($E$5:$E$142,"310",$DT$5:$DT$142)</f>
        <v>23715215</v>
      </c>
      <c r="DU150" s="193">
        <f>SUMIF($E$5:$E$142,"310",$DU$5:$DU$142)</f>
        <v>50500000</v>
      </c>
      <c r="DV150" s="193">
        <f>SUMIF($E$5:$E$142,"310",$DV$5:$DV$142)</f>
        <v>0</v>
      </c>
      <c r="DW150" s="193">
        <f>SUMIF($E$5:$E$142,"310",$DW$5:$DW$142)</f>
        <v>0</v>
      </c>
      <c r="DX150" s="193">
        <f>SUMIF($E$5:$E$142,"310",$DX$5:$DX$142)</f>
        <v>0</v>
      </c>
      <c r="DY150" s="193">
        <f>SUMIF($E$5:$E$142,"310",$DY$5:$DY$142)</f>
        <v>0</v>
      </c>
      <c r="DZ150" s="193">
        <f>SUMIF($E$5:$E$142,"310",$DZ$5:$DZ$142)</f>
        <v>60195543</v>
      </c>
      <c r="EB150" s="47">
        <f t="shared" si="171"/>
        <v>1076000000</v>
      </c>
      <c r="EC150" s="47">
        <f t="shared" si="172"/>
        <v>1076000000</v>
      </c>
      <c r="ED150" s="47">
        <f t="shared" si="173"/>
        <v>1076000000</v>
      </c>
      <c r="EH150" s="237" t="s">
        <v>298</v>
      </c>
      <c r="EI150" s="63">
        <f t="shared" si="174"/>
        <v>3687641610</v>
      </c>
      <c r="EJ150" s="63">
        <f t="shared" si="175"/>
        <v>2972179622</v>
      </c>
      <c r="EK150" s="241">
        <v>0.80600000000000005</v>
      </c>
    </row>
    <row r="151" spans="3:141" x14ac:dyDescent="0.3">
      <c r="C151" s="196"/>
      <c r="D151" s="184" t="s">
        <v>402</v>
      </c>
      <c r="E151" s="177">
        <v>410</v>
      </c>
      <c r="F151" s="185"/>
      <c r="G151" s="186">
        <f>SUMIF($E$5:$E$142,"410",$G$5:$G$142)</f>
        <v>9091266497</v>
      </c>
      <c r="H151" s="187">
        <f>SUMIF($E$5:$E$142,"410",$H$5:$H$142)</f>
        <v>0</v>
      </c>
      <c r="I151" s="187">
        <f>SUMIF($E$5:$E$143,"410",$I$5:$I$143)</f>
        <v>0</v>
      </c>
      <c r="J151" s="187">
        <f>SUMIF($E$5:$E$143,"410",$J$5:$J$143)</f>
        <v>0</v>
      </c>
      <c r="K151" s="187">
        <f>SUMIF($E$5:$E$143,"410",$K$5:$K$143)</f>
        <v>0</v>
      </c>
      <c r="L151" s="186">
        <f>SUMIF($E$5:$E$142,"410",$L$5:$L$142)</f>
        <v>0</v>
      </c>
      <c r="M151" s="185">
        <f>SUMIF($E$5:$E$142,"410",$M$5:$M$142)</f>
        <v>0</v>
      </c>
      <c r="N151" s="185">
        <f>SUMIF($E$5:$E$142,"410",$N$5:$N$142)</f>
        <v>0</v>
      </c>
      <c r="O151" s="185">
        <f>SUMIF($E$5:$E$142,"410",$O$5:$O$142)</f>
        <v>2419061682</v>
      </c>
      <c r="P151" s="185">
        <f>SUMIF($E$5:$E$142,"410",$P$5:$P$142)</f>
        <v>45960534</v>
      </c>
      <c r="Q151" s="185">
        <f>SUMIF($E$5:$E$142,"410",$Q$5:$Q$142)</f>
        <v>45960534</v>
      </c>
      <c r="R151" s="185">
        <f>SUMIF($E$5:$E$142,"410",$R$5:$R$142)</f>
        <v>85960534</v>
      </c>
      <c r="S151" s="185">
        <f>SUMIF($E$5:$E$142,"410",$S$5:$S$142)</f>
        <v>797458202</v>
      </c>
      <c r="T151" s="185">
        <f>SUMIF($E$5:$E$142,"410",$T$5:$T$142)</f>
        <v>30000000</v>
      </c>
      <c r="U151" s="185">
        <f>SUMIF($E$5:$E$142,"410",$U$5:$U$142)</f>
        <v>60000000</v>
      </c>
      <c r="V151" s="185">
        <f>SUMIF($E$5:$E$142,"410",$V$5:$V$142)</f>
        <v>20000000</v>
      </c>
      <c r="W151" s="185">
        <f>SUMIF($E$5:$E$142,"410",$W$5:$W$142)</f>
        <v>3457651561</v>
      </c>
      <c r="X151" s="185">
        <f>SUMIF($E$5:$E$142,"410",$X$5:$X$142)</f>
        <v>90000000</v>
      </c>
      <c r="Y151" s="185">
        <f>SUMIF($E$5:$E$142,"410",$Y$5:$Y$142)</f>
        <v>52565530</v>
      </c>
      <c r="Z151" s="185">
        <f>SUMIF($E$5:$E$131,"410",$Z$5:$Z$131)</f>
        <v>1116053744</v>
      </c>
      <c r="AA151" s="185">
        <f>SUMIF($E$5:$E$131,"410",$AA$5:$AA$131)</f>
        <v>0</v>
      </c>
      <c r="AB151" s="185">
        <f>SUMIF($E$5:$E$142,"410",$AB$5:$AB$142)</f>
        <v>453752865</v>
      </c>
      <c r="AC151" s="185">
        <f>SUMIF($E$5:$E$142,"410",$AC$5:$AC$142)</f>
        <v>0</v>
      </c>
      <c r="AD151" s="185">
        <f>SUMIF($E$5:$E$142,"410",$AD$5:$AD$142)</f>
        <v>416841311</v>
      </c>
      <c r="AE151" s="188">
        <f t="shared" si="164"/>
        <v>0.68088187064394667</v>
      </c>
      <c r="AF151" s="186">
        <f>SUMIF($E$5:$E$142,"410",$AF$5:$AF$142)</f>
        <v>6190078539</v>
      </c>
      <c r="AG151" s="186">
        <f>SUMIF($E$5:$E$142,"410",$AG$5:$AG$142)</f>
        <v>0</v>
      </c>
      <c r="AH151" s="186">
        <f>SUMIF($E$5:$E$142,"410",$AH$5:$AH$142)</f>
        <v>0</v>
      </c>
      <c r="AI151" s="186">
        <f>SUMIF($E$5:$E$142,"410",$AI$5:$AI$142)</f>
        <v>0</v>
      </c>
      <c r="AJ151" s="186">
        <f>SUMIF($E$5:$E$142,"410",$AJ$5:$AJ$142)</f>
        <v>0</v>
      </c>
      <c r="AK151" s="186">
        <f>SUMIF($E$5:$E$142,"410",$AK$5:$AK$142)</f>
        <v>0</v>
      </c>
      <c r="AL151" s="186">
        <f>SUMIF($E$5:$E$142,"410",$AL$5:$AL$142)</f>
        <v>0</v>
      </c>
      <c r="AM151" s="186">
        <f>SUMIF($E$5:$E$142,"410",$AM$5:$AM$142)</f>
        <v>0</v>
      </c>
      <c r="AN151" s="186">
        <f>SUMIF($E$5:$E$142,"410",$AN$5:$AN$142)</f>
        <v>2092840355</v>
      </c>
      <c r="AO151" s="186">
        <f>SUMIF($E$5:$E$142,"410",$AO$5:$AO$142)</f>
        <v>3200000</v>
      </c>
      <c r="AP151" s="186">
        <f>SUMIF($E$5:$E$142,"410",$AP$5:$AP$142)</f>
        <v>22983702</v>
      </c>
      <c r="AQ151" s="186">
        <f>SUMIF($E$5:$E$142,"410",$AQ$5:$AQ$142)</f>
        <v>7005939</v>
      </c>
      <c r="AR151" s="186">
        <f>SUMIF($E$5:$E$142,"410",$AR$5:$AR$142)</f>
        <v>751646051</v>
      </c>
      <c r="AS151" s="186">
        <f>SUMIF($E$5:$E$142,"410",$AS$5:$AS$142)</f>
        <v>2114681</v>
      </c>
      <c r="AT151" s="186">
        <f>SUMIF($E$5:$E$142,"410",$AT$5:$AT$142)</f>
        <v>10477239</v>
      </c>
      <c r="AU151" s="186">
        <f>SUMIF($E$5:$E$142,"410",$AU$5:$AU$142)</f>
        <v>2768519</v>
      </c>
      <c r="AV151" s="186">
        <f>SUMIF($E$5:$E$142,"410",$AV$5:$AV$142)</f>
        <v>1778728458</v>
      </c>
      <c r="AW151" s="186">
        <f>SUMIF($E$5:$E$142,"410",$AW$5:$AW$142)</f>
        <v>90000000</v>
      </c>
      <c r="AX151" s="186">
        <f>SUMIF($E$5:$E$142,"410",$AX$5:$AX$142)</f>
        <v>46996115</v>
      </c>
      <c r="AY151" s="186">
        <f>SUMIF($E$5:$E$142,"410",$AY$5:$AY$142)</f>
        <v>819963485</v>
      </c>
      <c r="AZ151" s="186">
        <f>SUMIF($E$5:$E$142,"410",$AZ$5:$AZ$142)</f>
        <v>0</v>
      </c>
      <c r="BA151" s="186">
        <f>SUMIF($E$5:$E$142,"410",$BA$5:$BA$142)</f>
        <v>285623667</v>
      </c>
      <c r="BB151" s="186">
        <f>SUMIF($E$5:$E$142,"410",$BB$5:$BB$142)</f>
        <v>0</v>
      </c>
      <c r="BC151" s="186">
        <f>SUMIF($E$5:$E$142,"410",$BC$5:$BC$142)</f>
        <v>275730328</v>
      </c>
      <c r="BD151" s="171">
        <f t="shared" si="165"/>
        <v>0.31911812935605333</v>
      </c>
      <c r="BE151" s="46">
        <f t="shared" si="166"/>
        <v>2901187958</v>
      </c>
      <c r="BF151" s="189">
        <f>SUMIF($E$5:$E$142,"410",$BF$5:$BF$142)</f>
        <v>0</v>
      </c>
      <c r="BG151" s="189">
        <f>SUMIF($E$5:$E$142,"410",$BG$5:$BG$142)</f>
        <v>0</v>
      </c>
      <c r="BH151" s="189">
        <f>SUMIF($E$5:$E$142,"410",$BH$5:$BH$142)</f>
        <v>0</v>
      </c>
      <c r="BI151" s="189">
        <f>SUMIF($E$5:$E$142,"410",$BI$5:$BI$142)</f>
        <v>0</v>
      </c>
      <c r="BJ151" s="189">
        <f>SUMIF($E$5:$E$142,"410",$BJ$5:$BJ$142)</f>
        <v>0</v>
      </c>
      <c r="BK151" s="189">
        <f>SUMIF($E$5:$E$142,"410",$BK$5:$BK$142)</f>
        <v>0</v>
      </c>
      <c r="BL151" s="189">
        <f>SUMIF($E$5:$E$142,"410",$BL$5:$BL$142)</f>
        <v>0</v>
      </c>
      <c r="BM151" s="189">
        <f>SUMIF($E$5:$E$142,"410",$BM$5:$BM$142)</f>
        <v>326221327</v>
      </c>
      <c r="BN151" s="189">
        <f>SUMIF($E$5:$E$142,"410",$BN$5:$BN$142)</f>
        <v>42760534</v>
      </c>
      <c r="BO151" s="189">
        <f>SUMIF($E$5:$E$142,"410",$BO$5:$BO$142)</f>
        <v>22976832</v>
      </c>
      <c r="BP151" s="189">
        <f>SUMIF($E$5:$E$142,"410",$BP$5:$BP$142)</f>
        <v>78954595</v>
      </c>
      <c r="BQ151" s="189">
        <f>SUMIF($E$5:$E$142,"410",$BQ$5:$BQ$142)</f>
        <v>45812151</v>
      </c>
      <c r="BR151" s="189">
        <f>SUMIF($E$5:$E$142,"410",$BR$5:$BR$142)</f>
        <v>27885319</v>
      </c>
      <c r="BS151" s="189">
        <f>SUMIF($E$5:$E$142,"410",$BS$5:$BS$142)</f>
        <v>49522761</v>
      </c>
      <c r="BT151" s="189">
        <f>SUMIF($E$5:$E$142,"410",$BT$5:$BT$142)</f>
        <v>17231481</v>
      </c>
      <c r="BU151" s="189">
        <f>SUMIF($E$5:$E$142,"410",$BU$5:$BU$142)</f>
        <v>1678923103</v>
      </c>
      <c r="BV151" s="189">
        <f>SUMIF($E$5:$E$142,"410",$BV$5:$BV$142)</f>
        <v>0</v>
      </c>
      <c r="BW151" s="189">
        <f>SUMIF($E$5:$E$142,"410",$BW$5:$BW$142)</f>
        <v>5569415</v>
      </c>
      <c r="BX151" s="189">
        <f>SUMIF($E$5:$E$142,"410",$BX$5:$BX$142)</f>
        <v>296090259</v>
      </c>
      <c r="BY151" s="189">
        <f>SUMIF($E$5:$E$142,"410",$BY$5:$BY$142)</f>
        <v>0</v>
      </c>
      <c r="BZ151" s="189">
        <f>SUMIF($E$5:$E$142,"410",$BZ$5:$BZ$142)</f>
        <v>168129198</v>
      </c>
      <c r="CA151" s="189">
        <f>SUMIF($E$5:$E$142,"410",$CA$5:$CA$142)</f>
        <v>0</v>
      </c>
      <c r="CB151" s="190">
        <f>SUMIF($E$5:$E$142,"410",$CB$5:$CB$142)</f>
        <v>141110983</v>
      </c>
      <c r="CC151" s="191">
        <f t="shared" si="167"/>
        <v>0.48614241409141701</v>
      </c>
      <c r="CD151" s="46">
        <f t="shared" si="168"/>
        <v>4419650242</v>
      </c>
      <c r="CE151" s="186">
        <f>SUMIF($E$5:$E$142,"410",$CE$5:$CE$142)</f>
        <v>0</v>
      </c>
      <c r="CF151" s="186">
        <f>SUMIF($E$5:$E$142,"410",$CF$5:$CF$142)</f>
        <v>0</v>
      </c>
      <c r="CG151" s="186">
        <f>SUMIF($E$5:$E$142,"410",$CG$5:$CG$142)</f>
        <v>0</v>
      </c>
      <c r="CH151" s="186">
        <f>SUMIF($E$5:$E$142,"410",$CH$5:$CH$142)</f>
        <v>0</v>
      </c>
      <c r="CI151" s="186">
        <f>SUMIF($E$5:$E$142,"410",$CI$5:$CI$142)</f>
        <v>0</v>
      </c>
      <c r="CJ151" s="186">
        <f>SUMIF($E$5:$E$142,"410",$CJ$5:$CJ$142)</f>
        <v>0</v>
      </c>
      <c r="CK151" s="186">
        <f>SUMIF($E$5:$E$142,"410",$CK$5:$CK$142)</f>
        <v>0</v>
      </c>
      <c r="CL151" s="186">
        <f>SUMIF($E$5:$E$142,"410",$CL$5:$CL$142)</f>
        <v>1586639467</v>
      </c>
      <c r="CM151" s="186">
        <f>SUMIF($E$5:$E$142,"410",$CM$5:$CM$142)</f>
        <v>3200000</v>
      </c>
      <c r="CN151" s="186">
        <f>SUMIF($E$5:$E$142,"410",$CN$5:$CN$142)</f>
        <v>22983702</v>
      </c>
      <c r="CO151" s="186">
        <f>SUMIF($E$5:$E$142,"410",$CO$5:$CO$142)</f>
        <v>4865259</v>
      </c>
      <c r="CP151" s="186">
        <f>SUMIF($E$5:$E$142,"410",$CP$5:$CP$142)</f>
        <v>580180670</v>
      </c>
      <c r="CQ151" s="186">
        <f>SUMIF($E$5:$E$142,"410",$CQ$5:$CQ$142)</f>
        <v>2114681</v>
      </c>
      <c r="CR151" s="186">
        <f>SUMIF($E$5:$E$142,"410",$CR$5:$CR$142)</f>
        <v>10252686</v>
      </c>
      <c r="CS151" s="186">
        <f>SUMIF($E$5:$E$142,"410",$CS$5:$CS$142)</f>
        <v>2768519</v>
      </c>
      <c r="CT151" s="186">
        <f>SUMIF($E$5:$E$142,"410",$CT$5:$CT$142)</f>
        <v>1078397268</v>
      </c>
      <c r="CU151" s="186">
        <f>SUMIF($E$5:$E$142,"410",$CU$5:$CU$142)</f>
        <v>80031559</v>
      </c>
      <c r="CV151" s="186">
        <f>SUMIF($E$5:$E$142,"410",$CV$5:$CV$142)</f>
        <v>15663110</v>
      </c>
      <c r="CW151" s="186">
        <f>SUMIF($E$5:$E$142,"410",$CW$5:$CW$142)</f>
        <v>608628848</v>
      </c>
      <c r="CX151" s="186">
        <f>SUMIF($E$5:$E$142,"410",$CX$5:$CX$142)</f>
        <v>0</v>
      </c>
      <c r="CY151" s="186">
        <f>SUMIF($E$5:$E$142,"410",$CY$5:$CY$142)</f>
        <v>225553524</v>
      </c>
      <c r="CZ151" s="186">
        <f>SUMIF($E$5:$E$142,"410",$CZ$5:$CZ$142)</f>
        <v>0</v>
      </c>
      <c r="DA151" s="192">
        <f>SUMIF($E$5:$E$142,"410",$DA$5:$DA$142)</f>
        <v>198370949</v>
      </c>
      <c r="DB151" s="43">
        <f t="shared" si="169"/>
        <v>0.51385758590858299</v>
      </c>
      <c r="DC151" s="46">
        <f t="shared" si="170"/>
        <v>4671616255</v>
      </c>
      <c r="DD151" s="189">
        <f>SUMIF($E$5:$E$142,"410",$DD$5:$DD$142)</f>
        <v>0</v>
      </c>
      <c r="DE151" s="189">
        <f>SUMIF($E$5:$E$142,"410",$DE$5:$DE$142)</f>
        <v>0</v>
      </c>
      <c r="DF151" s="189">
        <f>SUMIF($E$5:$E$142,"410",$DF$5:$DF$142)</f>
        <v>0</v>
      </c>
      <c r="DG151" s="189">
        <f>SUMIF($E$5:$E$142,"410",$DG$5:$DG$142)</f>
        <v>0</v>
      </c>
      <c r="DH151" s="189">
        <f>SUMIF($E$5:$E$142,"410",$DH$5:$DH$142)</f>
        <v>0</v>
      </c>
      <c r="DI151" s="189">
        <f>SUMIF($E$5:$E$142,"410",$DI$5:$DI$142)</f>
        <v>0</v>
      </c>
      <c r="DJ151" s="189">
        <f>SUMIF($E$5:$E$142,"410",$DJ$5:$DJ$142)</f>
        <v>0</v>
      </c>
      <c r="DK151" s="189">
        <f>SUMIF($E$5:$E$142,"410",$DK$5:$DK$142)</f>
        <v>832422215</v>
      </c>
      <c r="DL151" s="189">
        <f>SUMIF($E$5:$E$142,"410",$DL$5:$DL$142)</f>
        <v>42760534</v>
      </c>
      <c r="DM151" s="189">
        <f>SUMIF($E$5:$E$142,"410",$DM$5:$DM$142)</f>
        <v>22976832</v>
      </c>
      <c r="DN151" s="193">
        <f>SUMIF($E$5:$E$142,"410",$DN$5:$DN$142)</f>
        <v>81095275</v>
      </c>
      <c r="DO151" s="193">
        <f>SUMIF($E$5:$E$142,"410",$DO$5:$DO$142)</f>
        <v>217277532</v>
      </c>
      <c r="DP151" s="193">
        <f>SUMIF($E$5:$E$142,"410",$DP$5:$DP$142)</f>
        <v>27885319</v>
      </c>
      <c r="DQ151" s="193">
        <f>SUMIF($E$5:$E$142,"410",$DQ$5:$DQ$142)</f>
        <v>49747314</v>
      </c>
      <c r="DR151" s="193">
        <f>SUMIF($E$5:$E$142,"410",$DR$5:$DR$142)</f>
        <v>17231481</v>
      </c>
      <c r="DS151" s="193">
        <f>SUMIF($E$5:$E$142,"410",$DS$5:$DS$142)</f>
        <v>2379254293</v>
      </c>
      <c r="DT151" s="193">
        <f>SUMIF($E$5:$E$142,"410",$DT$5:$DT$142)</f>
        <v>9968441</v>
      </c>
      <c r="DU151" s="193">
        <f>SUMIF($E$5:$E$142,"410",$DU$5:$DU$142)</f>
        <v>36902420</v>
      </c>
      <c r="DV151" s="193">
        <f>SUMIF($E$5:$E$142,"410",$DV$5:$DV$142)</f>
        <v>507424896</v>
      </c>
      <c r="DW151" s="193">
        <f>SUMIF($E$5:$E$142,"410",$DW$5:$DW$142)</f>
        <v>0</v>
      </c>
      <c r="DX151" s="193">
        <f>SUMIF($E$5:$E$142,"410",$DX$5:$DX$142)</f>
        <v>228199341</v>
      </c>
      <c r="DY151" s="193">
        <f>SUMIF($E$5:$E$142,"410",$DY$5:$DY$142)</f>
        <v>0</v>
      </c>
      <c r="DZ151" s="193">
        <f>SUMIF($E$5:$E$142,"410",$DZ$5:$DZ$142)</f>
        <v>218470362</v>
      </c>
      <c r="EB151" s="47">
        <f t="shared" si="171"/>
        <v>9091266497</v>
      </c>
      <c r="EC151" s="47">
        <f t="shared" si="172"/>
        <v>9091266497</v>
      </c>
      <c r="ED151" s="47">
        <f t="shared" si="173"/>
        <v>9091266497</v>
      </c>
      <c r="EF151" s="63"/>
      <c r="EH151" s="237" t="s">
        <v>421</v>
      </c>
      <c r="EI151" s="63">
        <f t="shared" si="174"/>
        <v>1076000000</v>
      </c>
      <c r="EJ151" s="63">
        <f t="shared" si="175"/>
        <v>722693702</v>
      </c>
      <c r="EK151" s="241">
        <v>0.67159999999999997</v>
      </c>
    </row>
    <row r="152" spans="3:141" ht="14.25" customHeight="1" x14ac:dyDescent="0.3">
      <c r="C152" s="196"/>
      <c r="D152" s="197" t="s">
        <v>403</v>
      </c>
      <c r="E152" s="177">
        <v>510</v>
      </c>
      <c r="F152" s="185"/>
      <c r="G152" s="186">
        <f>SUMIF($E$5:$E$142,"510",$G$5:$G$142)</f>
        <v>2989288038</v>
      </c>
      <c r="H152" s="187">
        <f>SUMIF($E$5:$E$142,"510",$H$5:$H$142)</f>
        <v>23655791</v>
      </c>
      <c r="I152" s="187">
        <f>SUMIF($E$5:$E$143,"510",$I$5:$I$143)</f>
        <v>1151070473</v>
      </c>
      <c r="J152" s="187">
        <f>SUMIF($E$5:$E$143,"510",$J$5:$J$143)</f>
        <v>80644090</v>
      </c>
      <c r="K152" s="187">
        <f>SUMIF($E$5:$E$143,"510",$K$5:$K$143)</f>
        <v>0</v>
      </c>
      <c r="L152" s="186">
        <f>SUMIF($E$5:$E$142,"510",$L$5:$L$142)</f>
        <v>0</v>
      </c>
      <c r="M152" s="185">
        <f>SUMIF($E$5:$E$142,"510",$M$5:$M$142)</f>
        <v>0</v>
      </c>
      <c r="N152" s="185">
        <f>SUMIF($E$5:$E$142,"510",$N$5:$N$142)</f>
        <v>0</v>
      </c>
      <c r="O152" s="185">
        <f>SUMIF($E$5:$E$142,"510",$O$5:$O$142)</f>
        <v>0</v>
      </c>
      <c r="P152" s="185">
        <f>SUMIF($E$5:$E$142,"510",$P$5:$P$142)</f>
        <v>15000000</v>
      </c>
      <c r="Q152" s="185">
        <f>SUMIF($E$5:$E$142,"510",$Q$5:$Q$142)</f>
        <v>15000000</v>
      </c>
      <c r="R152" s="185">
        <f>SUMIF($E$5:$E$142,"510",$R$5:$R$142)</f>
        <v>15000000</v>
      </c>
      <c r="S152" s="185">
        <f>SUMIF($E$5:$E$142,"510",$S$5:$S$142)</f>
        <v>0</v>
      </c>
      <c r="T152" s="185">
        <f>SUMIF($E$5:$E$142,"510",$T$5:$T$142)</f>
        <v>0</v>
      </c>
      <c r="U152" s="185">
        <f>SUMIF($E$5:$E$142,"510",$U$5:$U$142)</f>
        <v>0</v>
      </c>
      <c r="V152" s="185">
        <f>SUMIF($E$5:$E$142,"510",$V$5:$V$142)</f>
        <v>0</v>
      </c>
      <c r="W152" s="185">
        <f>SUMIF($E$5:$E$142,"510",$W$5:$W$142)</f>
        <v>0</v>
      </c>
      <c r="X152" s="185">
        <f>SUMIF($E$5:$E$142,"510",$X$5:$X$142)</f>
        <v>236000000</v>
      </c>
      <c r="Y152" s="185">
        <f>SUMIF($E$5:$E$142,"510",$Y$5:$Y$142)</f>
        <v>162000000</v>
      </c>
      <c r="Z152" s="185">
        <f>SUMIF($E$5:$E$142,"510",$Z$5:$Z$142)</f>
        <v>0</v>
      </c>
      <c r="AA152" s="185">
        <f>SUMIF($E$5:$E$142,"510",$AA$5:$AA$142)</f>
        <v>0</v>
      </c>
      <c r="AB152" s="185"/>
      <c r="AC152" s="185">
        <f>SUMIF($E$5:$E$142,"510",$AC$5:$AC$142)</f>
        <v>972811018</v>
      </c>
      <c r="AD152" s="185">
        <f>SUMIF($E$5:$E$142,"510",$AD$5:$AD$142)</f>
        <v>318106666</v>
      </c>
      <c r="AE152" s="188">
        <f t="shared" si="164"/>
        <v>0.79235901388235508</v>
      </c>
      <c r="AF152" s="186">
        <f>SUMIF($E$5:$E$142,"510",$AF$5:$AF$142)</f>
        <v>2368589322</v>
      </c>
      <c r="AG152" s="186">
        <f>SUMIF($E$5:$E$142,"510",$AG$5:$AG$142)</f>
        <v>0</v>
      </c>
      <c r="AH152" s="186">
        <f>SUMIF($E$5:$E$142,"510",$AH$5:$AH$142)</f>
        <v>1098816103</v>
      </c>
      <c r="AI152" s="186">
        <f>SUMIF($E$5:$E$142,"510",$AI$5:$AI$142)</f>
        <v>76644090</v>
      </c>
      <c r="AJ152" s="186">
        <f>SUMIF($E$5:$E$142,"510",$AJ$5:$AJ$142)</f>
        <v>0</v>
      </c>
      <c r="AK152" s="186">
        <f>SUMIF($E$5:$E$142,"510",$AK$5:$AK$142)</f>
        <v>0</v>
      </c>
      <c r="AL152" s="186">
        <f>SUMIF($E$5:$E$142,"510",$AL$5:$AL$142)</f>
        <v>0</v>
      </c>
      <c r="AM152" s="186">
        <f>SUMIF($E$5:$E$142,"510",$AM$5:$AM$142)</f>
        <v>0</v>
      </c>
      <c r="AN152" s="186">
        <f>SUMIF($E$5:$E$142,"510",$AN$5:$AN$142)</f>
        <v>0</v>
      </c>
      <c r="AO152" s="186">
        <f>SUMIF($E$5:$E$142,"510",$AO$5:$AO$142)</f>
        <v>0</v>
      </c>
      <c r="AP152" s="186">
        <f>SUMIF($E$5:$E$142,"510",$AP$5:$AP$142)</f>
        <v>14999964</v>
      </c>
      <c r="AQ152" s="186">
        <f>SUMIF($E$5:$E$142,"510",$AQ$5:$AQ$142)</f>
        <v>0</v>
      </c>
      <c r="AR152" s="186">
        <f>SUMIF($E$5:$E$142,"510",$AR$5:$AR$142)</f>
        <v>0</v>
      </c>
      <c r="AS152" s="186">
        <f>SUMIF($E$5:$E$142,"510",$AS$5:$AS$142)</f>
        <v>0</v>
      </c>
      <c r="AT152" s="186">
        <f>SUMIF($E$5:$E$142,"510",$AT$5:$AT$142)</f>
        <v>0</v>
      </c>
      <c r="AU152" s="186">
        <f>SUMIF($E$5:$E$142,"510",$AU$5:$AU$142)</f>
        <v>0</v>
      </c>
      <c r="AV152" s="186">
        <f>SUMIF($E$5:$E$142,"510",$AV$5:$AV$142)</f>
        <v>0</v>
      </c>
      <c r="AW152" s="186">
        <f>SUMIF($E$5:$E$142,"510",$AW$5:$AW$142)</f>
        <v>186074655</v>
      </c>
      <c r="AX152" s="186">
        <f>SUMIF($E$5:$E$142,"510",$AX$5:$AX$142)</f>
        <v>161973333</v>
      </c>
      <c r="AY152" s="186">
        <f>SUMIF($E$5:$E$142,"510",$AY$5:$AY$142)</f>
        <v>0</v>
      </c>
      <c r="AZ152" s="186">
        <f>SUMIF($E$5:$E$142,"510",$AZ$5:$AZ$142)</f>
        <v>0</v>
      </c>
      <c r="BA152" s="186">
        <f>SUMIF($E$5:$E$142," 510",$BA$5:$BA$142)</f>
        <v>0</v>
      </c>
      <c r="BB152" s="186">
        <f>SUMIF($E$5:$E$142,"510",$BB$5:$BB$142)</f>
        <v>581330000</v>
      </c>
      <c r="BC152" s="186">
        <f>SUMIF($E$5:$E$142,"510",$BC$5:$BC$142)</f>
        <v>248751177</v>
      </c>
      <c r="BD152" s="171">
        <f t="shared" si="165"/>
        <v>0.20764098611764492</v>
      </c>
      <c r="BE152" s="46">
        <f t="shared" si="166"/>
        <v>620698716</v>
      </c>
      <c r="BF152" s="189">
        <f>SUMIF($E$5:$E$142,"510",$BF$5:$BF$142)</f>
        <v>23655791</v>
      </c>
      <c r="BG152" s="189">
        <f>SUMIF($E$5:$E$142,"510",$BG$5:$BG$142)</f>
        <v>52254370</v>
      </c>
      <c r="BH152" s="189">
        <f>SUMIF($E$5:$E$142,"510",$BH$5:$BH$142)</f>
        <v>4000000</v>
      </c>
      <c r="BI152" s="189">
        <f>SUMIF($E$5:$E$142,"510",$BI$5:$BI$142)</f>
        <v>0</v>
      </c>
      <c r="BJ152" s="189">
        <f>SUMIF($E$5:$E$142,"510",$BJ$5:$BJ$142)</f>
        <v>0</v>
      </c>
      <c r="BK152" s="189">
        <f>SUMIF($E$5:$E$142,"510",$BK$5:$BK$142)</f>
        <v>0</v>
      </c>
      <c r="BL152" s="189">
        <f>SUMIF($E$5:$E$142,"510",$BL$5:$BL$142)</f>
        <v>0</v>
      </c>
      <c r="BM152" s="189">
        <f>SUMIF($E$5:$E$142,"510",$BM$5:$BM$142)</f>
        <v>0</v>
      </c>
      <c r="BN152" s="189">
        <f>SUMIF($E$5:$E$142,"510",$BN$5:$BN$142)</f>
        <v>15000000</v>
      </c>
      <c r="BO152" s="189">
        <f>SUMIF($E$5:$E$142,"510",$BO$5:$BO$142)</f>
        <v>36</v>
      </c>
      <c r="BP152" s="189">
        <f>SUMIF($E$5:$E$142,"510",$BP$5:$BP$142)</f>
        <v>15000000</v>
      </c>
      <c r="BQ152" s="189">
        <f>SUMIF($E$5:$E$142,"510",$BQ$5:$BQ$142)</f>
        <v>0</v>
      </c>
      <c r="BR152" s="189">
        <f>SUMIF($E$5:$E$142,"510",$BR$5:$BR$142)</f>
        <v>0</v>
      </c>
      <c r="BS152" s="189">
        <f>SUMIF($E$5:$E$142,"510",$BS$5:$BS$142)</f>
        <v>0</v>
      </c>
      <c r="BT152" s="189">
        <f>SUMIF($E$5:$E$142,"510",$BT$5:$BT$142)</f>
        <v>0</v>
      </c>
      <c r="BU152" s="189">
        <f>SUMIF($E$5:$E$142,"510",$BU$5:$BU$142)</f>
        <v>0</v>
      </c>
      <c r="BV152" s="189">
        <f>SUMIF($E$5:$E$142,"510",$BV$5:$BV$142)</f>
        <v>49925345</v>
      </c>
      <c r="BW152" s="189">
        <f>SUMIF($E$5:$E$142,"510",$BW$5:$BW$142)</f>
        <v>26667</v>
      </c>
      <c r="BX152" s="189">
        <f>SUMIF($E$5:$E$142,"510",$BX$5:$BX$142)</f>
        <v>0</v>
      </c>
      <c r="BY152" s="189">
        <f>SUMIF($E$5:$E$142,"510",$BY$5:$BY$142)</f>
        <v>0</v>
      </c>
      <c r="BZ152" s="189">
        <f>SUMIF($E$5:$E$142,"510",$BZ$5:$BZ$142)</f>
        <v>0</v>
      </c>
      <c r="CA152" s="189">
        <f>SUMIF($E$5:$E$142,"510",$CA$5:$CA$142)</f>
        <v>391481018</v>
      </c>
      <c r="CB152" s="190">
        <f>SUMIF($E$5:$E$142,"510",$CB$5:$CB$142)</f>
        <v>69355489</v>
      </c>
      <c r="CC152" s="191">
        <f t="shared" si="167"/>
        <v>0.68986602086687243</v>
      </c>
      <c r="CD152" s="46">
        <f t="shared" si="168"/>
        <v>2062208244</v>
      </c>
      <c r="CE152" s="186">
        <f>SUMIF($E$5:$E$142,"510",$CE$5:$CE$142)</f>
        <v>0</v>
      </c>
      <c r="CF152" s="186">
        <f>SUMIF($E$5:$E$142,"510",$CF$5:$CF$142)</f>
        <v>1007608944</v>
      </c>
      <c r="CG152" s="186">
        <f>SUMIF($E$5:$E$142,"510",$CG$5:$CG$142)</f>
        <v>34615897</v>
      </c>
      <c r="CH152" s="186">
        <f>SUMIF($E$5:$E$142,"510",$CH$5:$CH$142)</f>
        <v>0</v>
      </c>
      <c r="CI152" s="186">
        <f>SUMIF($E$5:$E$142,"510",$CI$5:$CI$142)</f>
        <v>0</v>
      </c>
      <c r="CJ152" s="186">
        <f>SUMIF($E$5:$E$142,"510",$CJ$5:$CJ$142)</f>
        <v>0</v>
      </c>
      <c r="CK152" s="186">
        <f>SUMIF($E$5:$E$142,"510",$CK$5:$CK$142)</f>
        <v>0</v>
      </c>
      <c r="CL152" s="186">
        <f>SUMIF($E$5:$E$142,"510",$CL$5:$CL$142)</f>
        <v>0</v>
      </c>
      <c r="CM152" s="186">
        <f>SUMIF($E$5:$E$142,"510",$CM$5:$CM$142)</f>
        <v>0</v>
      </c>
      <c r="CN152" s="186">
        <f>SUMIF($E$5:$E$142,"510",$CN$5:$CN$142)</f>
        <v>14999964</v>
      </c>
      <c r="CO152" s="186">
        <f>SUMIF($E$5:$E$142,"510",$CO$5:$CO$142)</f>
        <v>0</v>
      </c>
      <c r="CP152" s="186">
        <f>SUMIF($E$5:$E$142,"510",$CP$5:$CP$142)</f>
        <v>0</v>
      </c>
      <c r="CQ152" s="186">
        <f>SUMIF($E$5:$E$142,"510",$CQ$5:$CQ$142)</f>
        <v>0</v>
      </c>
      <c r="CR152" s="186">
        <f>SUMIF($E$5:$E$142,"510",$CR$5:$CR$142)</f>
        <v>0</v>
      </c>
      <c r="CS152" s="186">
        <f>SUMIF($E$5:$E$142,"510",$CS$5:$CS$142)</f>
        <v>0</v>
      </c>
      <c r="CT152" s="186">
        <f>SUMIF($E$5:$E$142,"510",$CT$5:$CT$142)</f>
        <v>0</v>
      </c>
      <c r="CU152" s="186">
        <f>SUMIF($E$5:$E$142,"510",$CU$5:$CU$142)</f>
        <v>170115962</v>
      </c>
      <c r="CV152" s="186">
        <f>SUMIF($E$5:$E$142,"510",$CV$5:$CV$142)</f>
        <v>137575750</v>
      </c>
      <c r="CW152" s="186">
        <f>SUMIF($E$5:$E$142,"510",$CW$5:$CW$142)</f>
        <v>0</v>
      </c>
      <c r="CX152" s="186">
        <f>SUMIF($E$5:$E$142,"510",$CX$5:$CX$142)</f>
        <v>0</v>
      </c>
      <c r="CY152" s="186">
        <f>SUMIF($E$5:$E$142,"510",$CY$5:$CY$142)</f>
        <v>0</v>
      </c>
      <c r="CZ152" s="186">
        <f>SUMIF($E$5:$E$142,"510",$CZ$5:$CZ$142)</f>
        <v>467044183</v>
      </c>
      <c r="DA152" s="192">
        <f>SUMIF($E$5:$E$142,"510",$DA$5:$DA$142)</f>
        <v>230247544</v>
      </c>
      <c r="DB152" s="43">
        <f t="shared" si="169"/>
        <v>0.31013397913312757</v>
      </c>
      <c r="DC152" s="46">
        <f t="shared" si="170"/>
        <v>927079794</v>
      </c>
      <c r="DD152" s="189">
        <f>SUMIF($E$5:$E$142,"510",$DD$5:$DD$142)</f>
        <v>23655791</v>
      </c>
      <c r="DE152" s="189">
        <f>SUMIF($E$5:$E$142,"510",$DE$5:$DE$142)</f>
        <v>143461529</v>
      </c>
      <c r="DF152" s="189">
        <f>SUMIF($E$5:$E$142,"510",$DF$5:$DF$142)</f>
        <v>46028193</v>
      </c>
      <c r="DG152" s="189">
        <f>SUMIF($E$5:$E$142,"510",$DG$5:$DG$142)</f>
        <v>0</v>
      </c>
      <c r="DH152" s="189">
        <f>SUMIF($E$5:$E$142,"510",$DH$5:$DH$142)</f>
        <v>0</v>
      </c>
      <c r="DI152" s="189">
        <f>SUMIF($E$5:$E$142,"510",$DI$5:$DI$142)</f>
        <v>0</v>
      </c>
      <c r="DJ152" s="189">
        <f>SUMIF($E$5:$E$142,"510",$DJ$5:$DJ$142)</f>
        <v>0</v>
      </c>
      <c r="DK152" s="189">
        <f>SUMIF($E$5:$E$142,"510",$DK$5:$DK$142)</f>
        <v>0</v>
      </c>
      <c r="DL152" s="189">
        <f>SUMIF($E$5:$E$142,"510",$DL$5:$DL$142)</f>
        <v>15000000</v>
      </c>
      <c r="DM152" s="189">
        <f>SUMIF($E$5:$E$142,"510",$DM$5:$DM$142)</f>
        <v>36</v>
      </c>
      <c r="DN152" s="193">
        <f>SUMIF($E$5:$E$142,"510",$DN$5:$DN$142)</f>
        <v>15000000</v>
      </c>
      <c r="DO152" s="193">
        <f>SUMIF($E$5:$E$142,"510",$DO$5:$DO$142)</f>
        <v>0</v>
      </c>
      <c r="DP152" s="193">
        <f>SUMIF($E$5:$E$142,"510",$DP$5:$DP$142)</f>
        <v>0</v>
      </c>
      <c r="DQ152" s="193">
        <f>SUMIF($E$5:$E$142,"510",$DQ$5:$DQ$142)</f>
        <v>0</v>
      </c>
      <c r="DR152" s="193">
        <f>SUMIF($E$5:$E$142,"510",$DR$5:$DR$142)</f>
        <v>0</v>
      </c>
      <c r="DS152" s="193">
        <f>SUMIF($E$5:$E$142,"510",$DS$5:$DS$142)</f>
        <v>0</v>
      </c>
      <c r="DT152" s="193">
        <f>SUMIF($E$5:$E$142,"510",$DT$5:$DT$142)</f>
        <v>65884038</v>
      </c>
      <c r="DU152" s="193">
        <f>SUMIF($E$5:$E$142,"510",$DU$5:$DU$142)</f>
        <v>24424250</v>
      </c>
      <c r="DV152" s="193">
        <f>SUMIF($E$5:$E$142,"510",$DV$5:$DV$142)</f>
        <v>0</v>
      </c>
      <c r="DW152" s="193">
        <f>SUMIF($E$5:$E$142,"510",$DW$5:$DW$142)</f>
        <v>0</v>
      </c>
      <c r="DX152" s="193">
        <f>SUMIF($E$5:$E$142,"510",$DX$5:$DX$142)</f>
        <v>0</v>
      </c>
      <c r="DY152" s="193">
        <f>SUMIF($E$5:$E$142,"510",$DY$5:$DY$142)</f>
        <v>505766835</v>
      </c>
      <c r="DZ152" s="193">
        <f>SUMIF($E$5:$E$142,"510",$DZ$5:$DZ$142)</f>
        <v>87859122</v>
      </c>
      <c r="EB152" s="47">
        <f t="shared" si="171"/>
        <v>2989288038</v>
      </c>
      <c r="EC152" s="47">
        <f t="shared" si="172"/>
        <v>2989288038</v>
      </c>
      <c r="ED152" s="47">
        <f t="shared" si="173"/>
        <v>2989288038</v>
      </c>
      <c r="EH152" s="237" t="s">
        <v>422</v>
      </c>
      <c r="EI152" s="63">
        <f t="shared" si="174"/>
        <v>9091266497</v>
      </c>
      <c r="EJ152" s="63">
        <f t="shared" si="175"/>
        <v>4419650242</v>
      </c>
      <c r="EK152" s="241">
        <v>0.48609999999999998</v>
      </c>
    </row>
    <row r="153" spans="3:141" x14ac:dyDescent="0.3">
      <c r="C153" s="196"/>
      <c r="D153" s="184" t="s">
        <v>404</v>
      </c>
      <c r="E153" s="177">
        <v>520</v>
      </c>
      <c r="F153" s="185"/>
      <c r="G153" s="186">
        <f>SUMIF($E$5:$E$142,"520",$G$5:$G$142)</f>
        <v>4542835904</v>
      </c>
      <c r="H153" s="187">
        <f>SUMIF($E$5:$E$142,"520",$H$5:$H$142)</f>
        <v>0</v>
      </c>
      <c r="I153" s="187">
        <f>SUMIF($E$5:$E$142,"520",$I$5:$I$142)</f>
        <v>835000000</v>
      </c>
      <c r="J153" s="187">
        <f>SUMIF($E$5:$E$143,"520",$J$5:$J$143)</f>
        <v>0</v>
      </c>
      <c r="K153" s="187">
        <f>SUMIF($E$5:$E$143,"520",$K$5:$K$143)</f>
        <v>114000000</v>
      </c>
      <c r="L153" s="186">
        <f>SUMIF($E$5:$E$142,"520",$L$5:$L$142)</f>
        <v>0</v>
      </c>
      <c r="M153" s="185">
        <f>SUMIF($E$5:$E$142,"520",$M$5:$M$142)</f>
        <v>0</v>
      </c>
      <c r="N153" s="185">
        <f>SUMIF($E$5:$E$142,"520",$N$5:$N$142)</f>
        <v>0</v>
      </c>
      <c r="O153" s="185">
        <f>SUMIF($E$5:$E$142,"520",$O$5:$O$142)</f>
        <v>0</v>
      </c>
      <c r="P153" s="185">
        <f>SUMIF($E$5:$E$142,"520",$P$5:$P$142)</f>
        <v>0</v>
      </c>
      <c r="Q153" s="185">
        <f>SUMIF($E$5:$E$142,"520",$Q$5:$Q$142)</f>
        <v>0</v>
      </c>
      <c r="R153" s="185">
        <f>SUMIF($E$5:$E$142,"520",$R$5:$R$142)</f>
        <v>0</v>
      </c>
      <c r="S153" s="185">
        <f>SUMIF($E$5:$E$142,"520",$S$5:$S$142)</f>
        <v>0</v>
      </c>
      <c r="T153" s="185">
        <f>SUMIF($E$5:$E$142,"520",$T$5:$T$142)</f>
        <v>0</v>
      </c>
      <c r="U153" s="185">
        <f>SUMIF($E$5:$E$142,"520",$U$5:$U$142)</f>
        <v>0</v>
      </c>
      <c r="V153" s="185">
        <f>SUMIF($E$5:$E$142,"520",$V$5:$V$142)</f>
        <v>0</v>
      </c>
      <c r="W153" s="185">
        <f>SUMIF($E$5:$E$142,"520",$W$5:$W$142)</f>
        <v>2115618253</v>
      </c>
      <c r="X153" s="185">
        <f>SUMIF($E$5:$E$142,"520",$X$5:$X$142)</f>
        <v>312000000</v>
      </c>
      <c r="Y153" s="185">
        <f>SUMIF($E$5:$E$142,"520",$Y$5:$Y$142)</f>
        <v>132565530</v>
      </c>
      <c r="Z153" s="185">
        <f>SUMIF($E$5:$E$142,"520",$Z$5:$Z$142)</f>
        <v>210000000</v>
      </c>
      <c r="AA153" s="185">
        <f>SUMIF($E$5:$E$131,"520",$AA$5:$AA$131)</f>
        <v>0</v>
      </c>
      <c r="AB153" s="185"/>
      <c r="AC153" s="185">
        <f>SUMIF($E$5:$E$142,"520",$AC$5:$AC$142)</f>
        <v>0</v>
      </c>
      <c r="AD153" s="185">
        <f>SUMIF($E$5:$E$142,"520",$AD$5:$AD$142)</f>
        <v>823652121</v>
      </c>
      <c r="AE153" s="188">
        <f t="shared" si="164"/>
        <v>0.75760070663560553</v>
      </c>
      <c r="AF153" s="186">
        <f>SUMIF($E$5:$E$142,"520",$AF$5:$AF$142)</f>
        <v>3441655691</v>
      </c>
      <c r="AG153" s="186">
        <f>SUMIF($E$5:$E$142,"520",$AG$5:$AG$142)</f>
        <v>0</v>
      </c>
      <c r="AH153" s="186">
        <f>SUMIF($E$5:$E$142,"520",$AH$5:$AH$142)</f>
        <v>778803326</v>
      </c>
      <c r="AI153" s="186">
        <f>SUMIF($E$5:$E$142,"520",$AI$5:$AI$142)</f>
        <v>0</v>
      </c>
      <c r="AJ153" s="186">
        <f>SUMIF($E$5:$E$142,"520",$AJ$5:$AJ$142)</f>
        <v>114000000</v>
      </c>
      <c r="AK153" s="186">
        <f>SUMIF($E$5:$E$142,"520",$AK$5:$AK$142)</f>
        <v>0</v>
      </c>
      <c r="AL153" s="186">
        <f>SUMIF($E$5:$E$142,"520",$AL$5:$AL$142)</f>
        <v>0</v>
      </c>
      <c r="AM153" s="186">
        <f>SUMIF($E$5:$E$142,"520",$AM$5:$AM$142)</f>
        <v>0</v>
      </c>
      <c r="AN153" s="186">
        <f>SUMIF($E$5:$E$142,"520",$AN$5:$AN$142)</f>
        <v>0</v>
      </c>
      <c r="AO153" s="186">
        <f>SUMIF($E$5:$E$142,"520",$AO$5:$AO$142)</f>
        <v>0</v>
      </c>
      <c r="AP153" s="186">
        <f>SUMIF($E$5:$E$142,"520",$AP$5:$AP$142)</f>
        <v>0</v>
      </c>
      <c r="AQ153" s="186">
        <f>SUMIF($E$5:$E$142,"520",$AQ$5:$AQ$142)</f>
        <v>0</v>
      </c>
      <c r="AR153" s="186">
        <f>SUMIF($E$5:$E$142,"520",$AR$5:$AR$142)</f>
        <v>0</v>
      </c>
      <c r="AS153" s="186">
        <f>SUMIF($E$5:$E$142,"520",$AS$5:$AS$142)</f>
        <v>0</v>
      </c>
      <c r="AT153" s="186">
        <f>SUMIF($E$5:$E$142,"520",$AT$5:$AT$142)</f>
        <v>0</v>
      </c>
      <c r="AU153" s="186">
        <f>SUMIF($E$5:$E$142,"520",$AU$5:$AU$142)</f>
        <v>0</v>
      </c>
      <c r="AV153" s="186">
        <f>SUMIF($E$5:$E$142,"520",$AV$5:$AV$142)</f>
        <v>1157547927</v>
      </c>
      <c r="AW153" s="186">
        <f>SUMIF($E$5:$E$142,"520",$AW$5:$AW$142)</f>
        <v>289370571</v>
      </c>
      <c r="AX153" s="186">
        <f>SUMIF($E$5:$E$142,"520",$AX$5:$AX$142)</f>
        <v>132163690</v>
      </c>
      <c r="AY153" s="186">
        <f>SUMIF($E$5:$E$142,"520",$AY$5:$AY$142)</f>
        <v>208647007</v>
      </c>
      <c r="AZ153" s="186">
        <f>SUMIF($E$5:$E$142,"520",$AZ$5:$AZ$142)</f>
        <v>0</v>
      </c>
      <c r="BA153" s="186">
        <f>SUMIF($E$5:$E$142,"520",$BA$5:$BA$142)</f>
        <v>0</v>
      </c>
      <c r="BB153" s="186">
        <f>SUMIF($E$5:$E$142,"520",$BB$5:$BB$142)</f>
        <v>0</v>
      </c>
      <c r="BC153" s="186">
        <f>SUMIF($E$5:$E$142,"520",$BC$5:$BC$142)</f>
        <v>761123170</v>
      </c>
      <c r="BD153" s="171">
        <f t="shared" si="165"/>
        <v>0.24239929336439447</v>
      </c>
      <c r="BE153" s="46">
        <f t="shared" si="166"/>
        <v>1101180213</v>
      </c>
      <c r="BF153" s="189">
        <f>SUMIF($E$5:$E$142,"520",$BF$5:$BF$142)</f>
        <v>0</v>
      </c>
      <c r="BG153" s="189">
        <f>SUMIF($E$5:$E$142,"520",$BG$5:$BG$142)</f>
        <v>56196674</v>
      </c>
      <c r="BH153" s="189">
        <f>SUMIF($E$5:$E$142,"520",$BH$5:$BH$142)</f>
        <v>0</v>
      </c>
      <c r="BI153" s="189">
        <f>SUMIF($E$5:$E$142,"520",$BI$5:$BI$142)</f>
        <v>0</v>
      </c>
      <c r="BJ153" s="189">
        <f>SUMIF($E$5:$E$142,"520",$BJ$5:$BJ$142)</f>
        <v>0</v>
      </c>
      <c r="BK153" s="189">
        <f>SUMIF($E$5:$E$142,"520",$BK$5:$BK$142)</f>
        <v>0</v>
      </c>
      <c r="BL153" s="189">
        <f>SUMIF($E$5:$E$142,"520",$BL$5:$BL$142)</f>
        <v>0</v>
      </c>
      <c r="BM153" s="189">
        <f>SUMIF($E$5:$E$142,"520",$BM$5:$BM$142)</f>
        <v>0</v>
      </c>
      <c r="BN153" s="189">
        <f>SUMIF($E$5:$E$142,"520",$BN$5:$BN$142)</f>
        <v>0</v>
      </c>
      <c r="BO153" s="189">
        <f>SUMIF($E$5:$E$142,"520",$BO$5:$BO$142)</f>
        <v>0</v>
      </c>
      <c r="BP153" s="189">
        <f>SUMIF($E$5:$E$142,"520",$BP$5:$BP$142)</f>
        <v>0</v>
      </c>
      <c r="BQ153" s="189">
        <f>SUMIF($E$5:$E$142,"520",$BQ$5:$BQ$142)</f>
        <v>0</v>
      </c>
      <c r="BR153" s="189">
        <f>SUMIF($E$5:$E$142,"520",$BR$5:$BR$142)</f>
        <v>0</v>
      </c>
      <c r="BS153" s="189">
        <f>SUMIF($E$5:$E$142,"520",$BS$5:$BS$142)</f>
        <v>0</v>
      </c>
      <c r="BT153" s="189">
        <f>SUMIF($E$5:$E$142,"520",$BT$5:$BT$142)</f>
        <v>0</v>
      </c>
      <c r="BU153" s="189">
        <f>SUMIF($E$5:$E$142,"520",$BU$5:$BU$142)</f>
        <v>958070326</v>
      </c>
      <c r="BV153" s="189">
        <f>SUMIF($E$5:$E$142,"520",$BV$5:$BV$142)</f>
        <v>22629429</v>
      </c>
      <c r="BW153" s="189">
        <f>SUMIF($E$5:$E$142,"520",$BW$5:$BW$142)</f>
        <v>401840</v>
      </c>
      <c r="BX153" s="189">
        <f>SUMIF($E$5:$E$142,"520",$BX$5:$BX$142)</f>
        <v>1352993</v>
      </c>
      <c r="BY153" s="189">
        <f>SUMIF($E$5:$E$142,"520",$BY$5:$BY$142)</f>
        <v>0</v>
      </c>
      <c r="BZ153" s="189">
        <f>SUMIF($E$5:$E$142,"520",$BZ$5:$BZ$142)</f>
        <v>0</v>
      </c>
      <c r="CA153" s="189">
        <f>SUMIF($E$5:$E$142,"520",$CA$5:$CA$142)</f>
        <v>0</v>
      </c>
      <c r="CB153" s="190">
        <f>SUMIF($E$5:$E$142,"520",$CB$5:$CB$142)</f>
        <v>62528951</v>
      </c>
      <c r="CC153" s="191">
        <f t="shared" si="167"/>
        <v>0.68240859597643966</v>
      </c>
      <c r="CD153" s="46">
        <f t="shared" si="168"/>
        <v>3100070271</v>
      </c>
      <c r="CE153" s="186">
        <f>SUMIF($E$5:$E$142,"520",$CE$5:$CE$142)</f>
        <v>0</v>
      </c>
      <c r="CF153" s="186">
        <f>SUMIF($E$5:$E$142,"520",$CF$5:$CF$142)</f>
        <v>743657184</v>
      </c>
      <c r="CG153" s="186">
        <f>SUMIF($E$5:$E$142,"520",$CG$5:$CG$142)</f>
        <v>0</v>
      </c>
      <c r="CH153" s="186">
        <f>SUMIF($E$5:$E$142,"520",$CH$5:$CH$142)</f>
        <v>0</v>
      </c>
      <c r="CI153" s="186">
        <f>SUMIF($E$5:$E$142,"520",$CI$5:$CI$142)</f>
        <v>0</v>
      </c>
      <c r="CJ153" s="186">
        <f>SUMIF($E$5:$E$142,"520",$CJ$5:$CJ$142)</f>
        <v>0</v>
      </c>
      <c r="CK153" s="186">
        <f>SUMIF($E$5:$E$142,"520",$CK$5:$CK$142)</f>
        <v>0</v>
      </c>
      <c r="CL153" s="186">
        <f>SUMIF($E$5:$E$142,"520",$CL$5:$CL$142)</f>
        <v>0</v>
      </c>
      <c r="CM153" s="186">
        <f>SUMIF($E$5:$E$142,"520",$CM$5:$CM$142)</f>
        <v>0</v>
      </c>
      <c r="CN153" s="186">
        <f>SUMIF($E$5:$E$142,"520",$CN$5:$CN$142)</f>
        <v>0</v>
      </c>
      <c r="CO153" s="186">
        <f>SUMIF($E$5:$E$142,"520",$CO$5:$CO$142)</f>
        <v>0</v>
      </c>
      <c r="CP153" s="186">
        <f>SUMIF($E$5:$E$142,"520",$CP$5:$CP$142)</f>
        <v>0</v>
      </c>
      <c r="CQ153" s="186">
        <f>SUMIF($E$5:$E$142,"520",$CQ$5:$CQ$142)</f>
        <v>0</v>
      </c>
      <c r="CR153" s="186">
        <f>SUMIF($E$5:$E$142,"520",$CR$5:$CR$142)</f>
        <v>0</v>
      </c>
      <c r="CS153" s="186">
        <f>SUMIF($E$5:$E$142,"520",$CS$5:$CS$142)</f>
        <v>0</v>
      </c>
      <c r="CT153" s="186">
        <f>SUMIF($E$5:$E$142,"520",$CT$5:$CT$142)</f>
        <v>1084000006</v>
      </c>
      <c r="CU153" s="186">
        <f>SUMIF($E$5:$E$142,"520",$CU$5:$CU$142)</f>
        <v>256741164</v>
      </c>
      <c r="CV153" s="186">
        <f>SUMIF($E$5:$E$142,"520",$CV$5:$CV$142)</f>
        <v>131494823</v>
      </c>
      <c r="CW153" s="186">
        <f>SUMIF($E$5:$E$142,"520",$CW$5:$CW$142)</f>
        <v>181257002</v>
      </c>
      <c r="CX153" s="186">
        <f>SUMIF($E$5:$E$142,"520",$CX$5:$CX$142)</f>
        <v>0</v>
      </c>
      <c r="CY153" s="186">
        <f>SUMIF($E$5:$E$142,"520",$CY$5:$CY$142)</f>
        <v>0</v>
      </c>
      <c r="CZ153" s="186">
        <f>SUMIF($E$5:$E$142,"520",$CZ$5:$CZ$142)</f>
        <v>0</v>
      </c>
      <c r="DA153" s="192">
        <f>SUMIF($E$5:$E$142,"520",$DA$5:$DA$142)</f>
        <v>702920092</v>
      </c>
      <c r="DB153" s="43">
        <f t="shared" si="169"/>
        <v>0.31759140402356034</v>
      </c>
      <c r="DC153" s="46">
        <f t="shared" si="170"/>
        <v>1442765633</v>
      </c>
      <c r="DD153" s="189">
        <f>SUMIF($E$5:$E$142,"520",$DD$5:$DD$142)</f>
        <v>0</v>
      </c>
      <c r="DE153" s="189">
        <f>SUMIF($E$5:$E$142,"520",$DE$5:$DE$142)</f>
        <v>91342816</v>
      </c>
      <c r="DF153" s="189">
        <f>SUMIF($E$5:$E$142,"520",$DF$5:$DF$142)</f>
        <v>0</v>
      </c>
      <c r="DG153" s="189">
        <f>SUMIF($E$5:$E$142,"520",$DG$5:$DG$142)</f>
        <v>114000000</v>
      </c>
      <c r="DH153" s="189">
        <f>SUMIF($E$5:$E$142,"520",$DH$5:$DH$142)</f>
        <v>0</v>
      </c>
      <c r="DI153" s="189">
        <f>SUMIF($E$5:$E$142,"520",$DI$5:$DI$142)</f>
        <v>0</v>
      </c>
      <c r="DJ153" s="189">
        <f>SUMIF($E$5:$E$142,"520",$DJ$5:$DJ$142)</f>
        <v>0</v>
      </c>
      <c r="DK153" s="189">
        <f>SUMIF($E$5:$E$142,"520",$DK$5:$DK$142)</f>
        <v>0</v>
      </c>
      <c r="DL153" s="189">
        <f>SUMIF($E$5:$E$142,"520",$DL$5:$DL$142)</f>
        <v>0</v>
      </c>
      <c r="DM153" s="189">
        <f>SUMIF($E$5:$E$142,"520",$DM$5:$DM$142)</f>
        <v>0</v>
      </c>
      <c r="DN153" s="193">
        <f>SUMIF($E$5:$E$142,"520",$DN$5:$DN$142)</f>
        <v>0</v>
      </c>
      <c r="DO153" s="193">
        <f>SUMIF($E$5:$E$142,"520",$DO$5:$DO$142)</f>
        <v>0</v>
      </c>
      <c r="DP153" s="193">
        <f>SUMIF($E$5:$E$142,"520",$DP$5:$DP$142)</f>
        <v>0</v>
      </c>
      <c r="DQ153" s="193">
        <f>SUMIF($E$5:$E$142,"520",$DQ$5:$DQ$142)</f>
        <v>0</v>
      </c>
      <c r="DR153" s="193">
        <f>SUMIF($E$5:$E$142,"520",$DR$5:$DR$142)</f>
        <v>0</v>
      </c>
      <c r="DS153" s="193">
        <f>SUMIF($E$5:$E$142,"520",$DS$5:$DS$142)</f>
        <v>1031618247</v>
      </c>
      <c r="DT153" s="193">
        <f>SUMIF($E$5:$E$142,"520",$DT$5:$DT$142)</f>
        <v>55258836</v>
      </c>
      <c r="DU153" s="193">
        <f>SUMIF($E$5:$E$142,"520",$DU$5:$DU$142)</f>
        <v>1070707</v>
      </c>
      <c r="DV153" s="193">
        <f>SUMIF($E$5:$E$142,"520",$DV$5:$DV$142)</f>
        <v>28742998</v>
      </c>
      <c r="DW153" s="193">
        <f>SUMIF($E$5:$E$142,"520",$DW$5:$DW$142)</f>
        <v>0</v>
      </c>
      <c r="DX153" s="193">
        <f>SUMIF($E$5:$E$142,"520",$DX$5:$DX$142)</f>
        <v>0</v>
      </c>
      <c r="DY153" s="193">
        <f>SUMIF($E$5:$E$142,"520",$DY$5:$DY$142)</f>
        <v>0</v>
      </c>
      <c r="DZ153" s="193">
        <f>SUMIF($E$5:$E$142,"520",$DZ$5:$DZ$142)</f>
        <v>120732029</v>
      </c>
      <c r="EB153" s="47">
        <f t="shared" si="171"/>
        <v>4542835904</v>
      </c>
      <c r="EC153" s="47">
        <f t="shared" si="172"/>
        <v>4542835904</v>
      </c>
      <c r="ED153" s="47">
        <f t="shared" si="173"/>
        <v>4542835904</v>
      </c>
      <c r="EH153" s="237" t="s">
        <v>423</v>
      </c>
      <c r="EI153" s="63">
        <f t="shared" si="174"/>
        <v>2989288038</v>
      </c>
      <c r="EJ153" s="63">
        <f t="shared" si="175"/>
        <v>2062208244</v>
      </c>
      <c r="EK153" s="241">
        <v>0.68989999999999996</v>
      </c>
    </row>
    <row r="154" spans="3:141" ht="15" thickBot="1" x14ac:dyDescent="0.35">
      <c r="C154" s="198" t="s">
        <v>405</v>
      </c>
      <c r="D154" s="199"/>
      <c r="E154" s="200"/>
      <c r="F154" s="201"/>
      <c r="G154" s="202">
        <f t="shared" ref="G154:AD154" si="176">SUM(G147:G153)</f>
        <v>42445623888</v>
      </c>
      <c r="H154" s="202">
        <f t="shared" si="176"/>
        <v>467762013</v>
      </c>
      <c r="I154" s="202">
        <f t="shared" si="176"/>
        <v>2969410598</v>
      </c>
      <c r="J154" s="202">
        <f t="shared" si="176"/>
        <v>80644090</v>
      </c>
      <c r="K154" s="202">
        <f t="shared" si="176"/>
        <v>2311816144</v>
      </c>
      <c r="L154" s="202">
        <f t="shared" si="176"/>
        <v>10500000000</v>
      </c>
      <c r="M154" s="202">
        <f t="shared" si="176"/>
        <v>208000000</v>
      </c>
      <c r="N154" s="202">
        <f t="shared" si="176"/>
        <v>244096406</v>
      </c>
      <c r="O154" s="202">
        <f t="shared" si="176"/>
        <v>4798861038</v>
      </c>
      <c r="P154" s="202">
        <f t="shared" si="176"/>
        <v>986590852</v>
      </c>
      <c r="Q154" s="202">
        <f t="shared" si="176"/>
        <v>899683955</v>
      </c>
      <c r="R154" s="202">
        <f t="shared" si="176"/>
        <v>833117257</v>
      </c>
      <c r="S154" s="203">
        <f t="shared" si="176"/>
        <v>797458202</v>
      </c>
      <c r="T154" s="203">
        <f t="shared" si="176"/>
        <v>151047242</v>
      </c>
      <c r="U154" s="202">
        <f t="shared" si="176"/>
        <v>177491556</v>
      </c>
      <c r="V154" s="203">
        <f t="shared" si="176"/>
        <v>247290061</v>
      </c>
      <c r="W154" s="202">
        <f t="shared" si="176"/>
        <v>5673269814</v>
      </c>
      <c r="X154" s="202">
        <f t="shared" si="176"/>
        <v>1161806613</v>
      </c>
      <c r="Y154" s="202">
        <f t="shared" si="176"/>
        <v>1841680997</v>
      </c>
      <c r="Z154" s="202">
        <f t="shared" si="176"/>
        <v>1651021615</v>
      </c>
      <c r="AA154" s="202">
        <f t="shared" si="176"/>
        <v>1770728185</v>
      </c>
      <c r="AB154" s="202">
        <f t="shared" si="176"/>
        <v>453752865</v>
      </c>
      <c r="AC154" s="202">
        <f t="shared" si="176"/>
        <v>1337681906</v>
      </c>
      <c r="AD154" s="202">
        <f t="shared" si="176"/>
        <v>2882412479</v>
      </c>
      <c r="AE154" s="204">
        <f t="shared" si="164"/>
        <v>0.61760751561037341</v>
      </c>
      <c r="AF154" s="205">
        <f t="shared" ref="AF154:BC154" si="177">SUM(AF147:AF153)</f>
        <v>26214736318</v>
      </c>
      <c r="AG154" s="205">
        <f t="shared" si="177"/>
        <v>443770850</v>
      </c>
      <c r="AH154" s="205">
        <f t="shared" si="177"/>
        <v>2850818327</v>
      </c>
      <c r="AI154" s="205">
        <f t="shared" si="177"/>
        <v>76644090</v>
      </c>
      <c r="AJ154" s="205">
        <f t="shared" si="177"/>
        <v>2311816144</v>
      </c>
      <c r="AK154" s="205">
        <f t="shared" si="177"/>
        <v>0</v>
      </c>
      <c r="AL154" s="205">
        <f t="shared" si="177"/>
        <v>200411327</v>
      </c>
      <c r="AM154" s="205">
        <f t="shared" si="177"/>
        <v>244096406</v>
      </c>
      <c r="AN154" s="205">
        <f t="shared" si="177"/>
        <v>4340702597</v>
      </c>
      <c r="AO154" s="205">
        <f t="shared" si="177"/>
        <v>823486829</v>
      </c>
      <c r="AP154" s="205">
        <f t="shared" si="177"/>
        <v>779046810</v>
      </c>
      <c r="AQ154" s="205">
        <f t="shared" si="177"/>
        <v>660796216</v>
      </c>
      <c r="AR154" s="205">
        <f t="shared" si="177"/>
        <v>751646051</v>
      </c>
      <c r="AS154" s="205">
        <f t="shared" si="177"/>
        <v>47114681</v>
      </c>
      <c r="AT154" s="205">
        <f t="shared" si="177"/>
        <v>42890459</v>
      </c>
      <c r="AU154" s="205">
        <f t="shared" si="177"/>
        <v>207058580</v>
      </c>
      <c r="AV154" s="205">
        <f t="shared" si="177"/>
        <v>3036232281</v>
      </c>
      <c r="AW154" s="205">
        <f t="shared" si="177"/>
        <v>1073838980</v>
      </c>
      <c r="AX154" s="205">
        <f t="shared" si="177"/>
        <v>1733557774</v>
      </c>
      <c r="AY154" s="205">
        <f t="shared" si="177"/>
        <v>1349729681</v>
      </c>
      <c r="AZ154" s="205">
        <f t="shared" si="177"/>
        <v>1757659170</v>
      </c>
      <c r="BA154" s="205">
        <f t="shared" si="177"/>
        <v>285623667</v>
      </c>
      <c r="BB154" s="205">
        <f t="shared" si="177"/>
        <v>784292884</v>
      </c>
      <c r="BC154" s="205">
        <f t="shared" si="177"/>
        <v>2413502514</v>
      </c>
      <c r="BD154" s="206">
        <f t="shared" si="165"/>
        <v>0.38239248438962659</v>
      </c>
      <c r="BE154" s="205">
        <f t="shared" ref="BE154:CB154" si="178">SUM(BE147:BE153)</f>
        <v>16230887570</v>
      </c>
      <c r="BF154" s="205">
        <f t="shared" si="178"/>
        <v>23991163</v>
      </c>
      <c r="BG154" s="205">
        <f t="shared" si="178"/>
        <v>118592271</v>
      </c>
      <c r="BH154" s="205">
        <f t="shared" si="178"/>
        <v>4000000</v>
      </c>
      <c r="BI154" s="205">
        <f t="shared" si="178"/>
        <v>0</v>
      </c>
      <c r="BJ154" s="205">
        <f t="shared" si="178"/>
        <v>10500000000</v>
      </c>
      <c r="BK154" s="205">
        <f t="shared" si="178"/>
        <v>7588673</v>
      </c>
      <c r="BL154" s="205">
        <f t="shared" si="178"/>
        <v>0</v>
      </c>
      <c r="BM154" s="205">
        <f t="shared" si="178"/>
        <v>458158441</v>
      </c>
      <c r="BN154" s="205">
        <f t="shared" si="178"/>
        <v>163104023</v>
      </c>
      <c r="BO154" s="205">
        <f t="shared" si="178"/>
        <v>120637145</v>
      </c>
      <c r="BP154" s="205">
        <f t="shared" si="178"/>
        <v>172321041</v>
      </c>
      <c r="BQ154" s="205">
        <f t="shared" si="178"/>
        <v>45812151</v>
      </c>
      <c r="BR154" s="205">
        <f t="shared" si="178"/>
        <v>103932561</v>
      </c>
      <c r="BS154" s="205">
        <f t="shared" si="178"/>
        <v>134601097</v>
      </c>
      <c r="BT154" s="205">
        <f t="shared" si="178"/>
        <v>40231481</v>
      </c>
      <c r="BU154" s="205">
        <f t="shared" si="178"/>
        <v>2637037533</v>
      </c>
      <c r="BV154" s="205">
        <f t="shared" si="178"/>
        <v>87967633</v>
      </c>
      <c r="BW154" s="205">
        <f t="shared" si="178"/>
        <v>108123223</v>
      </c>
      <c r="BX154" s="205">
        <f t="shared" si="178"/>
        <v>301291934</v>
      </c>
      <c r="BY154" s="205">
        <f t="shared" si="178"/>
        <v>13069015</v>
      </c>
      <c r="BZ154" s="205">
        <f t="shared" si="178"/>
        <v>168129198</v>
      </c>
      <c r="CA154" s="205">
        <f t="shared" si="178"/>
        <v>553389022</v>
      </c>
      <c r="CB154" s="205">
        <f t="shared" si="178"/>
        <v>468909965</v>
      </c>
      <c r="CC154" s="207">
        <f t="shared" si="167"/>
        <v>0.5057268692443162</v>
      </c>
      <c r="CD154" s="208">
        <f t="shared" ref="CD154:DA154" si="179">SUM(CD147:CD153)</f>
        <v>21465892482</v>
      </c>
      <c r="CE154" s="208">
        <f t="shared" si="179"/>
        <v>443770850</v>
      </c>
      <c r="CF154" s="208">
        <f t="shared" si="179"/>
        <v>2675814558</v>
      </c>
      <c r="CG154" s="208">
        <f t="shared" si="179"/>
        <v>34615897</v>
      </c>
      <c r="CH154" s="208">
        <f t="shared" si="179"/>
        <v>1152201486</v>
      </c>
      <c r="CI154" s="208">
        <f t="shared" si="179"/>
        <v>0</v>
      </c>
      <c r="CJ154" s="208">
        <f t="shared" si="179"/>
        <v>205876669</v>
      </c>
      <c r="CK154" s="208">
        <f t="shared" si="179"/>
        <v>236438964</v>
      </c>
      <c r="CL154" s="208">
        <f t="shared" si="179"/>
        <v>3549144173</v>
      </c>
      <c r="CM154" s="208">
        <f t="shared" si="179"/>
        <v>534486829</v>
      </c>
      <c r="CN154" s="208">
        <f t="shared" si="179"/>
        <v>678868129</v>
      </c>
      <c r="CO154" s="208">
        <f t="shared" si="179"/>
        <v>618655536</v>
      </c>
      <c r="CP154" s="208">
        <f t="shared" si="179"/>
        <v>580180670</v>
      </c>
      <c r="CQ154" s="208">
        <f t="shared" si="179"/>
        <v>2114681</v>
      </c>
      <c r="CR154" s="208">
        <f t="shared" si="179"/>
        <v>13820090</v>
      </c>
      <c r="CS154" s="208">
        <f t="shared" si="179"/>
        <v>207058580</v>
      </c>
      <c r="CT154" s="208">
        <f t="shared" si="179"/>
        <v>2238762115</v>
      </c>
      <c r="CU154" s="208">
        <f t="shared" si="179"/>
        <v>996095284</v>
      </c>
      <c r="CV154" s="208">
        <f t="shared" si="179"/>
        <v>1655192977</v>
      </c>
      <c r="CW154" s="208">
        <f t="shared" si="179"/>
        <v>1049536123</v>
      </c>
      <c r="CX154" s="208">
        <f t="shared" si="179"/>
        <v>1717036386</v>
      </c>
      <c r="CY154" s="208">
        <f t="shared" si="179"/>
        <v>225553524</v>
      </c>
      <c r="CZ154" s="208">
        <f t="shared" si="179"/>
        <v>611344094</v>
      </c>
      <c r="DA154" s="208">
        <f t="shared" si="179"/>
        <v>2039324867</v>
      </c>
      <c r="DB154" s="209">
        <f t="shared" si="169"/>
        <v>0.4942731307556838</v>
      </c>
      <c r="DC154" s="202">
        <f t="shared" ref="DC154:DZ154" ca="1" si="180">SUM(DC147:DC153)</f>
        <v>20979731406</v>
      </c>
      <c r="DD154" s="202">
        <f t="shared" ca="1" si="180"/>
        <v>23991163</v>
      </c>
      <c r="DE154" s="202">
        <f t="shared" si="180"/>
        <v>293596040</v>
      </c>
      <c r="DF154" s="202">
        <f t="shared" si="180"/>
        <v>46028193</v>
      </c>
      <c r="DG154" s="202">
        <f t="shared" si="180"/>
        <v>1159614658</v>
      </c>
      <c r="DH154" s="202">
        <f t="shared" si="180"/>
        <v>10500000000</v>
      </c>
      <c r="DI154" s="202">
        <f t="shared" si="180"/>
        <v>2123331</v>
      </c>
      <c r="DJ154" s="202">
        <f t="shared" si="180"/>
        <v>7657442</v>
      </c>
      <c r="DK154" s="202">
        <f t="shared" si="180"/>
        <v>1249716865</v>
      </c>
      <c r="DL154" s="202">
        <f t="shared" si="180"/>
        <v>452104023</v>
      </c>
      <c r="DM154" s="202">
        <f t="shared" si="180"/>
        <v>220815826</v>
      </c>
      <c r="DN154" s="202">
        <f t="shared" si="180"/>
        <v>214461721</v>
      </c>
      <c r="DO154" s="202">
        <f t="shared" si="180"/>
        <v>217277532</v>
      </c>
      <c r="DP154" s="202">
        <f t="shared" si="180"/>
        <v>148932561</v>
      </c>
      <c r="DQ154" s="202">
        <f t="shared" si="180"/>
        <v>163671466</v>
      </c>
      <c r="DR154" s="202">
        <f t="shared" si="180"/>
        <v>40231481</v>
      </c>
      <c r="DS154" s="202">
        <f t="shared" si="180"/>
        <v>3434507699</v>
      </c>
      <c r="DT154" s="202">
        <f t="shared" si="180"/>
        <v>165711329</v>
      </c>
      <c r="DU154" s="202">
        <f t="shared" si="180"/>
        <v>186488020</v>
      </c>
      <c r="DV154" s="202">
        <f t="shared" si="180"/>
        <v>601485492</v>
      </c>
      <c r="DW154" s="202">
        <f t="shared" si="180"/>
        <v>53691799</v>
      </c>
      <c r="DX154" s="202">
        <f t="shared" si="180"/>
        <v>228199341</v>
      </c>
      <c r="DY154" s="202">
        <f t="shared" si="180"/>
        <v>726337812</v>
      </c>
      <c r="DZ154" s="202">
        <f t="shared" si="180"/>
        <v>843087612</v>
      </c>
      <c r="EB154" s="47">
        <f t="shared" si="171"/>
        <v>42445623888</v>
      </c>
      <c r="EC154" s="47">
        <f>AF154+BE154</f>
        <v>42445623888</v>
      </c>
      <c r="ED154" s="47">
        <f t="shared" ca="1" si="173"/>
        <v>42445623888</v>
      </c>
      <c r="EH154" s="237" t="s">
        <v>424</v>
      </c>
      <c r="EI154" s="63">
        <f t="shared" si="174"/>
        <v>4542835904</v>
      </c>
      <c r="EJ154" s="63">
        <f t="shared" si="175"/>
        <v>3100070271</v>
      </c>
      <c r="EK154" s="241">
        <v>0.68240000000000001</v>
      </c>
    </row>
    <row r="155" spans="3:141" ht="15" thickTop="1" x14ac:dyDescent="0.3"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  <c r="AF155" s="63"/>
      <c r="AG155" s="63"/>
      <c r="AH155" s="63"/>
      <c r="AI155" s="63"/>
      <c r="AJ155" s="63"/>
      <c r="AK155" s="63"/>
      <c r="AL155" s="63"/>
      <c r="AM155" s="63"/>
      <c r="AN155" s="63"/>
      <c r="AO155" s="63"/>
      <c r="AP155" s="63"/>
      <c r="AQ155" s="63"/>
      <c r="AR155" s="63"/>
      <c r="AS155" s="63"/>
      <c r="AT155" s="63"/>
      <c r="AU155" s="63"/>
      <c r="AV155" s="63"/>
      <c r="AW155" s="63"/>
      <c r="AX155" s="63"/>
      <c r="AY155" s="63"/>
      <c r="AZ155" s="63"/>
      <c r="BA155" s="63"/>
      <c r="BB155" s="63"/>
      <c r="BC155" s="63"/>
      <c r="BE155" s="63"/>
      <c r="BF155" s="63"/>
      <c r="BG155" s="63"/>
      <c r="BH155" s="63"/>
      <c r="BI155" s="63"/>
      <c r="BJ155" s="63"/>
      <c r="BK155" s="63"/>
      <c r="BL155" s="63"/>
      <c r="BM155" s="63"/>
      <c r="BN155" s="63"/>
      <c r="BO155" s="63"/>
      <c r="BP155" s="63"/>
      <c r="BQ155" s="63"/>
      <c r="BR155" s="63"/>
      <c r="BS155" s="63"/>
      <c r="BT155" s="63"/>
      <c r="BU155" s="63"/>
      <c r="BV155" s="63"/>
      <c r="BW155" s="63"/>
      <c r="BX155" s="63"/>
      <c r="BY155" s="63"/>
      <c r="BZ155" s="63"/>
      <c r="CA155" s="63"/>
      <c r="CB155" s="63"/>
      <c r="CC155" s="63"/>
      <c r="CD155" s="63"/>
      <c r="CE155" s="63"/>
      <c r="CF155" s="63"/>
      <c r="CG155" s="63"/>
      <c r="CH155" s="63"/>
      <c r="CI155" s="63"/>
      <c r="CJ155" s="63"/>
      <c r="CK155" s="63"/>
      <c r="CL155" s="63"/>
      <c r="CM155" s="63"/>
      <c r="CN155" s="63"/>
      <c r="CO155" s="63"/>
      <c r="CP155" s="63"/>
      <c r="CQ155" s="63"/>
      <c r="CR155" s="63"/>
      <c r="CS155" s="63"/>
      <c r="CT155" s="63"/>
      <c r="CU155" s="63"/>
      <c r="CV155" s="63"/>
      <c r="CW155" s="63"/>
      <c r="CX155" s="63"/>
      <c r="CY155" s="63"/>
      <c r="CZ155" s="63"/>
      <c r="DA155" s="63"/>
      <c r="DB155" s="63"/>
      <c r="DC155" s="63"/>
      <c r="DD155" s="63"/>
      <c r="DE155" s="63"/>
      <c r="DF155" s="63"/>
      <c r="DG155" s="63"/>
      <c r="DH155" s="63"/>
      <c r="DI155" s="63"/>
      <c r="DJ155" s="63"/>
      <c r="DK155" s="63"/>
      <c r="DL155" s="63"/>
      <c r="DM155" s="63"/>
      <c r="DN155" s="63"/>
      <c r="DO155" s="63"/>
      <c r="DP155" s="63"/>
      <c r="DQ155" s="63"/>
      <c r="DR155" s="63"/>
      <c r="DS155" s="63"/>
      <c r="DT155" s="63"/>
      <c r="DU155" s="63"/>
      <c r="DV155" s="63"/>
      <c r="DW155" s="63"/>
      <c r="DX155" s="63"/>
      <c r="DY155" s="63"/>
      <c r="DZ155" s="63"/>
      <c r="EC155" s="63"/>
      <c r="EK155" s="241"/>
    </row>
    <row r="156" spans="3:141" x14ac:dyDescent="0.3">
      <c r="EH156" s="240" t="s">
        <v>14</v>
      </c>
      <c r="EI156" s="242">
        <f>EI148+EI149+EI150+EI151+EI152+EI153+EI154</f>
        <v>42445623888</v>
      </c>
      <c r="EJ156" s="242">
        <f>EJ148+EJ149+EJ150+EJ151+EJ152+EJ153+EJ154</f>
        <v>21465892482</v>
      </c>
      <c r="EK156" s="243">
        <v>0.50570000000000004</v>
      </c>
    </row>
    <row r="157" spans="3:141" x14ac:dyDescent="0.3">
      <c r="EK157" s="241"/>
    </row>
    <row r="158" spans="3:141" x14ac:dyDescent="0.3">
      <c r="AH158" s="63">
        <f>+AG154+AH154</f>
        <v>3294589177</v>
      </c>
      <c r="EK158" s="241"/>
    </row>
    <row r="159" spans="3:141" x14ac:dyDescent="0.3">
      <c r="AG159" s="63">
        <f>+'[3]NOVIEMBRE 2019'!$K$9-AH154</f>
        <v>118592271</v>
      </c>
      <c r="EK159" s="241"/>
    </row>
    <row r="160" spans="3:141" x14ac:dyDescent="0.3">
      <c r="EK160" s="241"/>
    </row>
    <row r="161" spans="141:141" x14ac:dyDescent="0.3">
      <c r="EK161" s="241"/>
    </row>
    <row r="162" spans="141:141" x14ac:dyDescent="0.3">
      <c r="EK162" s="241"/>
    </row>
    <row r="163" spans="141:141" x14ac:dyDescent="0.3">
      <c r="EK163" s="241"/>
    </row>
    <row r="164" spans="141:141" x14ac:dyDescent="0.3">
      <c r="EK164" s="241"/>
    </row>
    <row r="165" spans="141:141" x14ac:dyDescent="0.3">
      <c r="EK165" s="241"/>
    </row>
    <row r="166" spans="141:141" x14ac:dyDescent="0.3">
      <c r="EK166" s="241"/>
    </row>
    <row r="167" spans="141:141" x14ac:dyDescent="0.3">
      <c r="EK167" s="241"/>
    </row>
    <row r="168" spans="141:141" x14ac:dyDescent="0.3">
      <c r="EK168" s="241"/>
    </row>
    <row r="169" spans="141:141" x14ac:dyDescent="0.3">
      <c r="EK169" s="241"/>
    </row>
    <row r="170" spans="141:141" x14ac:dyDescent="0.3">
      <c r="EK170" s="241"/>
    </row>
    <row r="171" spans="141:141" x14ac:dyDescent="0.3">
      <c r="EK171" s="241"/>
    </row>
    <row r="172" spans="141:141" x14ac:dyDescent="0.3">
      <c r="EK172" s="241"/>
    </row>
    <row r="173" spans="141:141" x14ac:dyDescent="0.3">
      <c r="EK173" s="241"/>
    </row>
    <row r="174" spans="141:141" x14ac:dyDescent="0.3">
      <c r="EK174" s="241"/>
    </row>
    <row r="175" spans="141:141" x14ac:dyDescent="0.3">
      <c r="EK175" s="241"/>
    </row>
    <row r="176" spans="141:141" x14ac:dyDescent="0.3">
      <c r="EK176" s="241"/>
    </row>
    <row r="177" spans="141:141" x14ac:dyDescent="0.3">
      <c r="EK177" s="241"/>
    </row>
    <row r="178" spans="141:141" x14ac:dyDescent="0.3">
      <c r="EK178" s="241"/>
    </row>
    <row r="179" spans="141:141" x14ac:dyDescent="0.3">
      <c r="EK179" s="241"/>
    </row>
    <row r="180" spans="141:141" x14ac:dyDescent="0.3">
      <c r="EK180" s="241"/>
    </row>
    <row r="181" spans="141:141" x14ac:dyDescent="0.3">
      <c r="EK181" s="241"/>
    </row>
    <row r="182" spans="141:141" x14ac:dyDescent="0.3">
      <c r="EK182" s="241"/>
    </row>
    <row r="183" spans="141:141" x14ac:dyDescent="0.3">
      <c r="EK183" s="241"/>
    </row>
    <row r="184" spans="141:141" x14ac:dyDescent="0.3">
      <c r="EK184" s="241"/>
    </row>
    <row r="185" spans="141:141" x14ac:dyDescent="0.3">
      <c r="EK185" s="241"/>
    </row>
    <row r="186" spans="141:141" x14ac:dyDescent="0.3">
      <c r="EK186" s="241"/>
    </row>
    <row r="187" spans="141:141" x14ac:dyDescent="0.3">
      <c r="EK187" s="241"/>
    </row>
    <row r="188" spans="141:141" x14ac:dyDescent="0.3">
      <c r="EK188" s="241"/>
    </row>
    <row r="189" spans="141:141" x14ac:dyDescent="0.3">
      <c r="EK189" s="241"/>
    </row>
    <row r="190" spans="141:141" x14ac:dyDescent="0.3">
      <c r="EK190" s="241"/>
    </row>
    <row r="201" spans="4:32" ht="15.6" x14ac:dyDescent="0.3">
      <c r="D201" s="244" t="s">
        <v>433</v>
      </c>
      <c r="E201" s="245"/>
      <c r="F201" s="245"/>
      <c r="G201" s="245"/>
      <c r="H201" s="245"/>
      <c r="I201" s="245"/>
      <c r="J201" s="245"/>
      <c r="K201" s="245"/>
      <c r="L201" s="245"/>
      <c r="M201" s="245"/>
      <c r="N201" s="245"/>
      <c r="O201" s="245"/>
      <c r="P201" s="245"/>
      <c r="Q201" s="245"/>
      <c r="R201" s="245"/>
      <c r="S201" s="245"/>
      <c r="T201" s="245"/>
      <c r="U201" s="245"/>
      <c r="V201" s="245"/>
      <c r="W201" s="245"/>
      <c r="X201" s="245"/>
      <c r="Y201" s="245"/>
      <c r="Z201" s="245"/>
      <c r="AA201" s="245"/>
      <c r="AB201" s="245"/>
      <c r="AC201" s="245"/>
      <c r="AD201" s="245"/>
      <c r="AE201" s="245"/>
      <c r="AF201" s="245"/>
    </row>
    <row r="202" spans="4:32" ht="53.4" customHeight="1" x14ac:dyDescent="0.3">
      <c r="D202" s="246" t="s">
        <v>4</v>
      </c>
      <c r="E202" s="247" t="s">
        <v>434</v>
      </c>
      <c r="F202" s="248"/>
      <c r="G202" s="249" t="s">
        <v>435</v>
      </c>
      <c r="H202" s="246"/>
      <c r="I202" s="246"/>
      <c r="J202" s="246"/>
      <c r="K202" s="246"/>
      <c r="L202" s="246"/>
      <c r="M202" s="246" t="s">
        <v>425</v>
      </c>
      <c r="N202" s="246"/>
      <c r="O202" s="246"/>
      <c r="P202" s="246"/>
      <c r="Q202" s="246"/>
      <c r="R202" s="246"/>
      <c r="S202" s="246"/>
      <c r="T202" s="246"/>
      <c r="U202" s="246"/>
      <c r="V202" s="246"/>
      <c r="W202" s="246"/>
      <c r="X202" s="246" t="s">
        <v>426</v>
      </c>
      <c r="Y202" s="246" t="s">
        <v>425</v>
      </c>
      <c r="Z202" s="246" t="s">
        <v>427</v>
      </c>
      <c r="AA202" s="246"/>
      <c r="AB202" s="246"/>
      <c r="AC202" s="250" t="s">
        <v>428</v>
      </c>
      <c r="AD202" s="250" t="s">
        <v>429</v>
      </c>
      <c r="AE202" s="249" t="s">
        <v>436</v>
      </c>
      <c r="AF202" s="249" t="s">
        <v>437</v>
      </c>
    </row>
    <row r="203" spans="4:32" x14ac:dyDescent="0.3">
      <c r="D203" s="251" t="s">
        <v>43</v>
      </c>
      <c r="E203" s="252">
        <f>+'[13]P. ACCIÓN CONSOLIDADO '!$CD$40</f>
        <v>2547014712</v>
      </c>
      <c r="F203" s="171"/>
      <c r="G203" s="253">
        <f>CD40-E203</f>
        <v>361361309</v>
      </c>
      <c r="H203" s="251"/>
      <c r="I203" s="251"/>
      <c r="J203" s="251"/>
      <c r="K203" s="251"/>
      <c r="L203" s="251"/>
      <c r="M203" s="188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4"/>
      <c r="Y203" s="188"/>
      <c r="Z203" s="255"/>
      <c r="AA203" s="256"/>
      <c r="AB203" s="256"/>
      <c r="AC203" s="257">
        <f>+E203+G203</f>
        <v>2908376021</v>
      </c>
      <c r="AD203" s="258">
        <f>E203+G203</f>
        <v>2908376021</v>
      </c>
      <c r="AE203" s="253">
        <f>E203+G203</f>
        <v>2908376021</v>
      </c>
      <c r="AF203" s="191">
        <v>0.6643</v>
      </c>
    </row>
    <row r="204" spans="4:32" x14ac:dyDescent="0.3">
      <c r="D204" s="251" t="s">
        <v>135</v>
      </c>
      <c r="E204" s="252">
        <f>+'[13]P. ACCIÓN CONSOLIDADO '!$CD$81</f>
        <v>3855588245</v>
      </c>
      <c r="F204" s="171"/>
      <c r="G204" s="253">
        <f>CD81-E204</f>
        <v>564061997</v>
      </c>
      <c r="H204" s="251"/>
      <c r="I204" s="251"/>
      <c r="J204" s="251"/>
      <c r="K204" s="251"/>
      <c r="L204" s="251"/>
      <c r="M204" s="188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4"/>
      <c r="Y204" s="188"/>
      <c r="Z204" s="255"/>
      <c r="AA204" s="256"/>
      <c r="AB204" s="256"/>
      <c r="AC204" s="257">
        <f>+E204+G204</f>
        <v>4419650242</v>
      </c>
      <c r="AD204" s="258">
        <f>+E204+G204</f>
        <v>4419650242</v>
      </c>
      <c r="AE204" s="253">
        <f t="shared" ref="AE204:AE207" si="181">E204+G204</f>
        <v>4419650242</v>
      </c>
      <c r="AF204" s="191">
        <v>0.48609999999999998</v>
      </c>
    </row>
    <row r="205" spans="4:32" x14ac:dyDescent="0.3">
      <c r="D205" s="251" t="s">
        <v>430</v>
      </c>
      <c r="E205" s="252">
        <f>+'[13]P. ACCIÓN CONSOLIDADO '!$CD$105</f>
        <v>2828031894</v>
      </c>
      <c r="F205" s="171"/>
      <c r="G205" s="253">
        <f>CD105-E205</f>
        <v>272038377</v>
      </c>
      <c r="H205" s="251"/>
      <c r="I205" s="251"/>
      <c r="J205" s="251"/>
      <c r="K205" s="251"/>
      <c r="L205" s="251"/>
      <c r="M205" s="188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4"/>
      <c r="Y205" s="188"/>
      <c r="Z205" s="255"/>
      <c r="AA205" s="256"/>
      <c r="AB205" s="256"/>
      <c r="AC205" s="257">
        <f>+E205+G205</f>
        <v>3100070271</v>
      </c>
      <c r="AD205" s="258">
        <f>+E205+G205</f>
        <v>3100070271</v>
      </c>
      <c r="AE205" s="253">
        <f t="shared" si="181"/>
        <v>3100070271</v>
      </c>
      <c r="AF205" s="191">
        <v>0.68240000000000001</v>
      </c>
    </row>
    <row r="206" spans="4:32" x14ac:dyDescent="0.3">
      <c r="D206" s="251" t="s">
        <v>431</v>
      </c>
      <c r="E206" s="252">
        <f>+'[13]P. ACCIÓN CONSOLIDADO '!$CD$122</f>
        <v>2879361152</v>
      </c>
      <c r="F206" s="171"/>
      <c r="G206" s="253">
        <f>CD122-E206</f>
        <v>92818470</v>
      </c>
      <c r="H206" s="251"/>
      <c r="I206" s="251"/>
      <c r="J206" s="251"/>
      <c r="K206" s="251"/>
      <c r="L206" s="251"/>
      <c r="M206" s="188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4"/>
      <c r="Y206" s="188"/>
      <c r="Z206" s="255"/>
      <c r="AA206" s="256"/>
      <c r="AB206" s="256"/>
      <c r="AC206" s="257">
        <f>+E206+G206</f>
        <v>2972179622</v>
      </c>
      <c r="AD206" s="258">
        <f>+E206+G206</f>
        <v>2972179622</v>
      </c>
      <c r="AE206" s="253">
        <f t="shared" si="181"/>
        <v>2972179622</v>
      </c>
      <c r="AF206" s="191">
        <v>0.80600000000000005</v>
      </c>
    </row>
    <row r="207" spans="4:32" x14ac:dyDescent="0.3">
      <c r="D207" s="251" t="s">
        <v>342</v>
      </c>
      <c r="E207" s="252">
        <f>+'[13]P. ACCIÓN CONSOLIDADO '!$CD$143</f>
        <v>5991509682</v>
      </c>
      <c r="F207" s="171"/>
      <c r="G207" s="253">
        <f>CD143-E207</f>
        <v>2074106644</v>
      </c>
      <c r="H207" s="251"/>
      <c r="I207" s="251"/>
      <c r="J207" s="251"/>
      <c r="K207" s="251"/>
      <c r="L207" s="251"/>
      <c r="M207" s="188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4"/>
      <c r="Y207" s="188"/>
      <c r="Z207" s="255"/>
      <c r="AA207" s="256"/>
      <c r="AB207" s="256"/>
      <c r="AC207" s="257">
        <f>+E207+G207</f>
        <v>8065616326</v>
      </c>
      <c r="AD207" s="258">
        <f>+E207+G207</f>
        <v>8065616326</v>
      </c>
      <c r="AE207" s="253">
        <f t="shared" si="181"/>
        <v>8065616326</v>
      </c>
      <c r="AF207" s="191">
        <v>0.38879999999999998</v>
      </c>
    </row>
    <row r="208" spans="4:32" ht="15" thickBot="1" x14ac:dyDescent="0.35">
      <c r="D208" s="259" t="s">
        <v>432</v>
      </c>
      <c r="E208" s="260">
        <f>E203+E204+E205+E206+E207</f>
        <v>18101505685</v>
      </c>
      <c r="F208" s="261"/>
      <c r="G208" s="260">
        <f>G203+G204+G205+G206+G207</f>
        <v>3364386797</v>
      </c>
      <c r="H208" s="260">
        <f t="shared" ref="H208:AE208" si="182">H203+H204+H205+H206+H207</f>
        <v>0</v>
      </c>
      <c r="I208" s="260">
        <f t="shared" si="182"/>
        <v>0</v>
      </c>
      <c r="J208" s="260">
        <f t="shared" si="182"/>
        <v>0</v>
      </c>
      <c r="K208" s="260">
        <f t="shared" si="182"/>
        <v>0</v>
      </c>
      <c r="L208" s="260">
        <f t="shared" si="182"/>
        <v>0</v>
      </c>
      <c r="M208" s="260">
        <f t="shared" si="182"/>
        <v>0</v>
      </c>
      <c r="N208" s="260">
        <f t="shared" si="182"/>
        <v>0</v>
      </c>
      <c r="O208" s="260">
        <f t="shared" si="182"/>
        <v>0</v>
      </c>
      <c r="P208" s="260">
        <f t="shared" si="182"/>
        <v>0</v>
      </c>
      <c r="Q208" s="260">
        <f t="shared" si="182"/>
        <v>0</v>
      </c>
      <c r="R208" s="260">
        <f t="shared" si="182"/>
        <v>0</v>
      </c>
      <c r="S208" s="260">
        <f t="shared" si="182"/>
        <v>0</v>
      </c>
      <c r="T208" s="260">
        <f t="shared" si="182"/>
        <v>0</v>
      </c>
      <c r="U208" s="260">
        <f t="shared" si="182"/>
        <v>0</v>
      </c>
      <c r="V208" s="260">
        <f t="shared" si="182"/>
        <v>0</v>
      </c>
      <c r="W208" s="260">
        <f t="shared" si="182"/>
        <v>0</v>
      </c>
      <c r="X208" s="260">
        <f t="shared" si="182"/>
        <v>0</v>
      </c>
      <c r="Y208" s="260">
        <f t="shared" si="182"/>
        <v>0</v>
      </c>
      <c r="Z208" s="260">
        <f t="shared" si="182"/>
        <v>0</v>
      </c>
      <c r="AA208" s="260">
        <f t="shared" si="182"/>
        <v>0</v>
      </c>
      <c r="AB208" s="260">
        <f t="shared" si="182"/>
        <v>0</v>
      </c>
      <c r="AC208" s="260">
        <f t="shared" si="182"/>
        <v>21465892482</v>
      </c>
      <c r="AD208" s="260">
        <f t="shared" si="182"/>
        <v>21465892482</v>
      </c>
      <c r="AE208" s="260">
        <f t="shared" si="182"/>
        <v>21465892482</v>
      </c>
      <c r="AF208" s="207">
        <v>0.50570000000000004</v>
      </c>
    </row>
    <row r="209" ht="15" thickTop="1" x14ac:dyDescent="0.3"/>
  </sheetData>
  <mergeCells count="66">
    <mergeCell ref="D201:AF201"/>
    <mergeCell ref="B143:D143"/>
    <mergeCell ref="C145:E145"/>
    <mergeCell ref="C154:D154"/>
    <mergeCell ref="G3:G4"/>
    <mergeCell ref="AE3:AF3"/>
    <mergeCell ref="BD3:BE3"/>
    <mergeCell ref="B105:E105"/>
    <mergeCell ref="B122:E122"/>
    <mergeCell ref="B119:B121"/>
    <mergeCell ref="A123:A131"/>
    <mergeCell ref="B124:B125"/>
    <mergeCell ref="B126:B131"/>
    <mergeCell ref="A134:A142"/>
    <mergeCell ref="B134:B140"/>
    <mergeCell ref="B141:B142"/>
    <mergeCell ref="A101:A104"/>
    <mergeCell ref="B101:B102"/>
    <mergeCell ref="A106:A117"/>
    <mergeCell ref="B106:B108"/>
    <mergeCell ref="B112:B113"/>
    <mergeCell ref="B81:E81"/>
    <mergeCell ref="A82:A93"/>
    <mergeCell ref="B82:B84"/>
    <mergeCell ref="B88:B95"/>
    <mergeCell ref="A97:A100"/>
    <mergeCell ref="B97:B98"/>
    <mergeCell ref="B45:B51"/>
    <mergeCell ref="A60:A73"/>
    <mergeCell ref="B60:B63"/>
    <mergeCell ref="B64:B72"/>
    <mergeCell ref="B74:B75"/>
    <mergeCell ref="A76:A80"/>
    <mergeCell ref="B76:B77"/>
    <mergeCell ref="B27:B31"/>
    <mergeCell ref="B32:B33"/>
    <mergeCell ref="B34:B35"/>
    <mergeCell ref="B36:B39"/>
    <mergeCell ref="B40:E40"/>
    <mergeCell ref="B41:B44"/>
    <mergeCell ref="DC2:DO2"/>
    <mergeCell ref="DP2:DZ2"/>
    <mergeCell ref="B5:B10"/>
    <mergeCell ref="B11:B14"/>
    <mergeCell ref="B15:B21"/>
    <mergeCell ref="B22:B26"/>
    <mergeCell ref="CC3:CD3"/>
    <mergeCell ref="DB3:DC3"/>
    <mergeCell ref="G2:AD2"/>
    <mergeCell ref="AF2:BC2"/>
    <mergeCell ref="BF2:BQ2"/>
    <mergeCell ref="BR2:CB2"/>
    <mergeCell ref="CE2:CQ2"/>
    <mergeCell ref="CT2:DA2"/>
    <mergeCell ref="A2:A4"/>
    <mergeCell ref="B2:B4"/>
    <mergeCell ref="C2:C4"/>
    <mergeCell ref="D2:D4"/>
    <mergeCell ref="E2:E4"/>
    <mergeCell ref="F2:F4"/>
    <mergeCell ref="C1:F1"/>
    <mergeCell ref="G1:AD1"/>
    <mergeCell ref="AF1:BC1"/>
    <mergeCell ref="BF1:CC1"/>
    <mergeCell ref="CD1:DA1"/>
    <mergeCell ref="DC1:DZ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NOV 2019 </vt:lpstr>
      <vt:lpstr>CONSOLIDADO NOV 2019</vt:lpstr>
      <vt:lpstr>'CONSOLIDADO NOV 2019'!Títulos_a_imprimir</vt:lpstr>
      <vt:lpstr>'P. ACCIÓN A NOV 2019 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2019-12-22T20:21:17Z</dcterms:created>
  <dcterms:modified xsi:type="dcterms:W3CDTF">2019-12-22T21:27:44Z</dcterms:modified>
</cp:coreProperties>
</file>